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vJ+q3mIXG622Kqwme95oSM63TI07h/GXNU+c+T5DIQQlUH5KYmEVLl/8Paqk3SoSPkzCj22QhyYfzbgaTtR01g==" workbookSaltValue="GZm2lBcbsyW9oKRX67ghs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Y133" i="83" l="1"/>
  <c r="U194" i="83"/>
  <c r="AC194" i="83" s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Z194" i="83"/>
  <c r="AA194" i="83"/>
  <c r="Y194" i="83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Z196" i="83" l="1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<sst xmlns="http://schemas.openxmlformats.org/spreadsheetml/2006/main" count="65839" uniqueCount="755">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</sst>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46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0.32764423491199957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0.67235576508800043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822215.81</v>
      </c>
    </row>
    <row r="4" spans="1:29" x14ac:dyDescent="0.25">
      <c r="A4" s="2">
        <f>Results!$D$3</f>
        <v>46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1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0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0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7.5999999999999998E-2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7.0000000000000007E-2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6.9000000000000006E-2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6.7000000000000004E-2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1.4999999999999999E-2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1072.98</v>
      </c>
    </row>
    <row r="5" spans="1:29" x14ac:dyDescent="0.25">
      <c r="A5" s="2">
        <f>Results!$D$3</f>
        <v>46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0.64802024030406924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4.8579519000072673E-2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7.5877002656056416E-2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1.1742344242309445E-2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9.9775185418232548E-2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7.9456646460202451E-2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1.5724937022367168E-2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4.5385398908292721E-4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1.3619005641825778E-2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1.3409779556298633E-4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6.6171674702185284E-3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7.1630200393994967E-2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7.0737857754712918E-2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6.9737857754712917E-2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6.773785775471293E-2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1.2358409369049424E-2</v>
      </c>
      <c r="AB5" s="2">
        <f>SUMIFS(PERSALDATA!$G$2:$G$20871,PERSALDATA!$A$2:$A$20871,WORKING!A5,PERSALDATA!$D$2:$D$20871,WORKING!B5,PERSALDATA!$E$2:$E$20871,WORKING!C5,PERSALDATA!$F$2:$F$20871,"S&amp;W: BASIC SALARY (RES)")</f>
        <v>17</v>
      </c>
      <c r="AC5" s="2">
        <f>SUMIFS(PERSALDATA!$H$2:$H$20871,PERSALDATA!$A$2:$A$20871,WORKING!A5,PERSALDATA!$D$2:$D$20871,WORKING!B5,PERSALDATA!$E$2:$E$20871,WORKING!C5)</f>
        <v>2684607.8899999997</v>
      </c>
    </row>
    <row r="6" spans="1:29" x14ac:dyDescent="0.25">
      <c r="A6" s="2">
        <f>Results!$D$3</f>
        <v>46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46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0.59736535729863227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4.3071462459091728E-2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5.9727947397557699E-2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5.8525424723286874E-2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7.1216793749911439E-2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7.7656910880710472E-2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1.3087642486776605E-2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3.1823674979404592E-4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9.6813927807805934E-3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6.9348831473458411E-2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7.2457711110284373E-2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7.0470972432273113E-2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6.9470972432273112E-2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6.747097243227311E-2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1.3031055331541055E-2</v>
      </c>
      <c r="AB7" s="2">
        <f>SUMIFS(PERSALDATA!$G$2:$G$20871,PERSALDATA!$A$2:$A$20871,WORKING!A7,PERSALDATA!$D$2:$D$20871,WORKING!B7,PERSALDATA!$E$2:$E$20871,WORKING!C7,PERSALDATA!$F$2:$F$20871,"S&amp;W: BASIC SALARY (RES)")</f>
        <v>1</v>
      </c>
      <c r="AC7" s="2">
        <f>SUMIFS(PERSALDATA!$H$2:$H$20871,PERSALDATA!$A$2:$A$20871,WORKING!A7,PERSALDATA!$D$2:$D$20871,WORKING!B7,PERSALDATA!$E$2:$E$20871,WORKING!C7)</f>
        <v>256161.48999999996</v>
      </c>
    </row>
    <row r="8" spans="1:29" x14ac:dyDescent="0.25">
      <c r="A8" s="2">
        <f>Results!$D$3</f>
        <v>46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0.70233464502650134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3.717468689178785E-2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3.6615239606819387E-2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4.4439910183748564E-2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3.3135351987861703E-2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6.7087427236953337E-2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8.0450653996950675E-3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2.9932713296649784E-4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6.9059298811887437E-2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1.8090477217789602E-3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7.3681136717711801E-2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7.0130877883749762E-2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6.9130877883749761E-2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6.7130877883749746E-2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1.3949251219085287E-2</v>
      </c>
      <c r="AB8" s="2">
        <f>SUMIFS(PERSALDATA!$G$2:$G$20871,PERSALDATA!$A$2:$A$20871,WORKING!A8,PERSALDATA!$D$2:$D$20871,WORKING!B8,PERSALDATA!$E$2:$E$20871,WORKING!C8,PERSALDATA!$F$2:$F$20871,"S&amp;W: BASIC SALARY (RES)")</f>
        <v>35</v>
      </c>
      <c r="AC8" s="2">
        <f>SUMIFS(PERSALDATA!$H$2:$H$20871,PERSALDATA!$A$2:$A$20871,WORKING!A8,PERSALDATA!$D$2:$D$20871,WORKING!B8,PERSALDATA!$E$2:$E$20871,WORKING!C8)</f>
        <v>8160536.5199999986</v>
      </c>
    </row>
    <row r="9" spans="1:29" x14ac:dyDescent="0.25">
      <c r="A9" s="2">
        <f>Results!$D$3</f>
        <v>46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0.71927005714288506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5.4610364380401621E-2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3.6826581976521132E-2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2.6809420361814138E-2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3.6256930329114825E-2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8.1684849104454477E-2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9.0210865466205607E-3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2.4211492800616977E-4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3.3640670397694104E-2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1.63792483248791E-3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7.3708776794391986E-2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7.0175588135171524E-2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6.9175588135171523E-2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6.7175588135171521E-2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1.3900115591495369E-2</v>
      </c>
      <c r="AB9" s="2">
        <f>SUMIFS(PERSALDATA!$G$2:$G$20871,PERSALDATA!$A$2:$A$20871,WORKING!A9,PERSALDATA!$D$2:$D$20871,WORKING!B9,PERSALDATA!$E$2:$E$20871,WORKING!C9,PERSALDATA!$F$2:$F$20871,"S&amp;W: BASIC SALARY (RES)")</f>
        <v>23</v>
      </c>
      <c r="AC9" s="2">
        <f>SUMIFS(PERSALDATA!$H$2:$H$20871,PERSALDATA!$A$2:$A$20871,WORKING!A9,PERSALDATA!$D$2:$D$20871,WORKING!B9,PERSALDATA!$E$2:$E$20871,WORKING!C9)</f>
        <v>6549616.7999999998</v>
      </c>
    </row>
    <row r="10" spans="1:29" x14ac:dyDescent="0.25">
      <c r="A10" s="2">
        <f>Results!$D$3</f>
        <v>46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0.71751290398583067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6.3310302941921692E-2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2.3353052757231776E-2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3.1368609513629617E-2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5.4264356422754886E-2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9.3276190111640248E-2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9.590242488793992E-3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1.8768423900027961E-4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4.3875432452980919E-4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4.122167645784094E-4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6.2856864500885441E-3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7.4984868980368935E-2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7.0580434818768994E-2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6.9580434818769021E-2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6.7580434818768992E-2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1.3832923598715194E-2</v>
      </c>
      <c r="AB10" s="2">
        <f>SUMIFS(PERSALDATA!$G$2:$G$20871,PERSALDATA!$A$2:$A$20871,WORKING!A10,PERSALDATA!$D$2:$D$20871,WORKING!B10,PERSALDATA!$E$2:$E$20871,WORKING!C10,PERSALDATA!$F$2:$F$20871,"S&amp;W: BASIC SALARY (RES)")</f>
        <v>7</v>
      </c>
      <c r="AC10" s="2">
        <f>SUMIFS(PERSALDATA!$H$2:$H$20871,PERSALDATA!$A$2:$A$20871,WORKING!A10,PERSALDATA!$D$2:$D$20871,WORKING!B10,PERSALDATA!$E$2:$E$20871,WORKING!C10)</f>
        <v>2826182.97</v>
      </c>
    </row>
    <row r="11" spans="1:29" x14ac:dyDescent="0.25">
      <c r="A11" s="2">
        <f>Results!$D$3</f>
        <v>46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0.73829659231718081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5.8817089146345446E-2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2.9132165310806084E-2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1.7995027304280497E-2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3.0299425074251155E-2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9.2438742406338897E-2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1.0440780598046684E-2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1.700870266992447E-4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5.8676437304576827E-3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1.0045283618429273E-2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6.4971634671642459E-3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7.421014738741824E-2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7.0163169723005722E-2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6.9163169723005707E-2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6.7163169723005706E-2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1.4105974838823653E-2</v>
      </c>
      <c r="AB11" s="2">
        <f>SUMIFS(PERSALDATA!$G$2:$G$20871,PERSALDATA!$A$2:$A$20871,WORKING!A11,PERSALDATA!$D$2:$D$20871,WORKING!B11,PERSALDATA!$E$2:$E$20871,WORKING!C11,PERSALDATA!$F$2:$F$20871,"S&amp;W: BASIC SALARY (RES)")</f>
        <v>15</v>
      </c>
      <c r="AC11" s="2">
        <f>SUMIFS(PERSALDATA!$H$2:$H$20871,PERSALDATA!$A$2:$A$20871,WORKING!A11,PERSALDATA!$D$2:$D$20871,WORKING!B11,PERSALDATA!$E$2:$E$20871,WORKING!C11)</f>
        <v>7095250.1399999997</v>
      </c>
    </row>
    <row r="12" spans="1:29" x14ac:dyDescent="0.25">
      <c r="A12" s="2">
        <f>Results!$D$3</f>
        <v>46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0.76524423268671271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6.3408559280905524E-2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2.6758220744816066E-2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0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2.6681910263432702E-2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9.948144550286972E-2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1.3866704617091348E-4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1.8286964475092413E-2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7.4339921967082043E-2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7.0132646446503341E-2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6.913264644650334E-2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6.7132646446503352E-2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1.4196318029183704E-2</v>
      </c>
      <c r="AB12" s="2">
        <f>SUMIFS(PERSALDATA!$G$2:$G$20871,PERSALDATA!$A$2:$A$20871,WORKING!A12,PERSALDATA!$D$2:$D$20871,WORKING!B12,PERSALDATA!$E$2:$E$20871,WORKING!C12,PERSALDATA!$F$2:$F$20871,"S&amp;W: BASIC SALARY (RES)")</f>
        <v>2</v>
      </c>
      <c r="AC12" s="2">
        <f>SUMIFS(PERSALDATA!$H$2:$H$20871,PERSALDATA!$A$2:$A$20871,WORKING!A12,PERSALDATA!$D$2:$D$20871,WORKING!B12,PERSALDATA!$E$2:$E$20871,WORKING!C12)</f>
        <v>1009035.7</v>
      </c>
    </row>
    <row r="13" spans="1:29" x14ac:dyDescent="0.25">
      <c r="A13" s="2">
        <f>Results!$D$3</f>
        <v>46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0.69202956191567899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4.7638999288129029E-2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1.5963771562728863E-3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1.0960325598395465E-2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1.9689058784220368E-2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8.9210145723567016E-2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1.5506247397857092E-2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1.1142016974134011E-4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2.677745911201403E-3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0.11101709672508688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7.6482813273905364E-3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1.9147400024588344E-3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1.4679047158346481E-2</v>
      </c>
      <c r="AB13" s="2">
        <f>SUMIFS(PERSALDATA!$G$2:$G$20871,PERSALDATA!$A$2:$A$20871,WORKING!A13,PERSALDATA!$D$2:$D$20871,WORKING!B13,PERSALDATA!$E$2:$E$20871,WORKING!C13,PERSALDATA!$F$2:$F$20871,"S&amp;W: BASIC SALARY (RES)")</f>
        <v>23</v>
      </c>
      <c r="AC13" s="2">
        <f>SUMIFS(PERSALDATA!$H$2:$H$20871,PERSALDATA!$A$2:$A$20871,WORKING!A13,PERSALDATA!$D$2:$D$20871,WORKING!B13,PERSALDATA!$E$2:$E$20871,WORKING!C13)</f>
        <v>13916510.840000002</v>
      </c>
    </row>
    <row r="14" spans="1:29" x14ac:dyDescent="0.25">
      <c r="A14" s="2">
        <f>Results!$D$3</f>
        <v>46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0.6900584281897032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2.3121680950240489E-2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4.9277067288719294E-3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1.4238851270776771E-2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9.1059630143497022E-2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8.0744875387676815E-3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9.298352987923172E-5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0.14828065152577671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2.0145580122487003E-2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1.478502247799016E-2</v>
      </c>
      <c r="AB14" s="2">
        <f>SUMIFS(PERSALDATA!$G$2:$G$20871,PERSALDATA!$A$2:$A$20871,WORKING!A14,PERSALDATA!$D$2:$D$20871,WORKING!B14,PERSALDATA!$E$2:$E$20871,WORKING!C14,PERSALDATA!$F$2:$F$20871,"S&amp;W: BASIC SALARY (RES)")</f>
        <v>2</v>
      </c>
      <c r="AC14" s="2">
        <f>SUMIFS(PERSALDATA!$H$2:$H$20871,PERSALDATA!$A$2:$A$20871,WORKING!A14,PERSALDATA!$D$2:$D$20871,WORKING!B14,PERSALDATA!$E$2:$E$20871,WORKING!C14)</f>
        <v>1879365.0899999999</v>
      </c>
    </row>
    <row r="15" spans="1:29" x14ac:dyDescent="0.25">
      <c r="A15" s="2">
        <f>Results!$D$3</f>
        <v>46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0.61800419415261698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3.7177626394124634E-2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2.6999910003672391E-2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2.420849848614099E-2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8.0340358785151902E-2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1.2644015785353789E-2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7.5580623920372227E-5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0.19739906229077189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3.1507534782470332E-3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1.4230740163293992E-2</v>
      </c>
      <c r="AB15" s="2">
        <f>SUMIFS(PERSALDATA!$G$2:$G$20871,PERSALDATA!$A$2:$A$20871,WORKING!A15,PERSALDATA!$D$2:$D$20871,WORKING!B15,PERSALDATA!$E$2:$E$20871,WORKING!C15,PERSALDATA!$F$2:$F$20871,"S&amp;W: BASIC SALARY (RES)")</f>
        <v>7</v>
      </c>
      <c r="AC15" s="2">
        <f>SUMIFS(PERSALDATA!$H$2:$H$20871,PERSALDATA!$A$2:$A$20871,WORKING!A15,PERSALDATA!$D$2:$D$20871,WORKING!B15,PERSALDATA!$E$2:$E$20871,WORKING!C15)</f>
        <v>7709647.919999999</v>
      </c>
    </row>
    <row r="16" spans="1:29" x14ac:dyDescent="0.25">
      <c r="A16" s="2">
        <f>Results!$D$3</f>
        <v>46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0.56638704694936348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2.5730943108546723E-2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0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1.2879256339822981E-2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5.9342764700087654E-2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1.7440434114573081E-2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5.5172551423750973E-5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0.27549955847063912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4.2664823765543251E-2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1.4805983566631297E-2</v>
      </c>
      <c r="AB16" s="2">
        <f>SUMIFS(PERSALDATA!$G$2:$G$20871,PERSALDATA!$A$2:$A$20871,WORKING!A16,PERSALDATA!$D$2:$D$20871,WORKING!B16,PERSALDATA!$E$2:$E$20871,WORKING!C16,PERSALDATA!$F$2:$F$20871,"S&amp;W: BASIC SALARY (RES)")</f>
        <v>5</v>
      </c>
      <c r="AC16" s="2">
        <f>SUMIFS(PERSALDATA!$H$2:$H$20871,PERSALDATA!$A$2:$A$20871,WORKING!A16,PERSALDATA!$D$2:$D$20871,WORKING!B16,PERSALDATA!$E$2:$E$20871,WORKING!C16)</f>
        <v>7183644.5800000001</v>
      </c>
    </row>
    <row r="17" spans="1:29" x14ac:dyDescent="0.25">
      <c r="A17" s="2">
        <f>Results!$D$3</f>
        <v>46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0.59663759192699306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4.0852702454746113E-2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8.9733896642057078E-3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7.0445110995805041E-2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2.0982943668074745E-2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4.8767381695069942E-5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0.2567460507753152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5.313443133165007E-3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1.4864667644311488E-2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1671609.12</v>
      </c>
    </row>
    <row r="18" spans="1:29" x14ac:dyDescent="0.25">
      <c r="A18" s="2">
        <f>Results!$D$3</f>
        <v>46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0.62829963253906318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5.8569441393952707E-3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0.14136734722488328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0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0.22447607609665829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1.491214583790907E-2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320986.5</v>
      </c>
    </row>
    <row r="19" spans="1:29" x14ac:dyDescent="0.25">
      <c r="A19" s="2">
        <f>Results!$D$3</f>
        <v>46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46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1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2853033.7699999996</v>
      </c>
    </row>
    <row r="21" spans="1:29" x14ac:dyDescent="0.25">
      <c r="A21" s="2">
        <f>Results!$D$3</f>
        <v>46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46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0.72907128790397446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0.10415304112913921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7.1534072019141151E-2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0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0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9.4778217125665615E-2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4.6338182207954773E-4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7.0563410526545273E-2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6.9284659279808591E-2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6.8284659279808577E-2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6.6284659279808603E-2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1.3920038192381688E-2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88069.92</v>
      </c>
    </row>
    <row r="23" spans="1:29" x14ac:dyDescent="0.25">
      <c r="A23" s="2">
        <f>Results!$D$3</f>
        <v>46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0.70704403528823911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5.6390057287928542E-2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4.2926115926984108E-2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1.1509702416627509E-2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7.2555454694470209E-2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9.1914830293389288E-2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1.7258885176299622E-2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4.0091891606164001E-4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7.3753391555271802E-2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7.0659070661147225E-2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6.9659070661147224E-2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6.7659070661147222E-2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1.326176265693726E-2</v>
      </c>
      <c r="AB23" s="2">
        <f>SUMIFS(PERSALDATA!$G$2:$G$20871,PERSALDATA!$A$2:$A$20871,WORKING!A23,PERSALDATA!$D$2:$D$20871,WORKING!B23,PERSALDATA!$E$2:$E$20871,WORKING!C23,PERSALDATA!$F$2:$F$20871,"S&amp;W: BASIC SALARY (RES)")</f>
        <v>2</v>
      </c>
      <c r="AC23" s="2">
        <f>SUMIFS(PERSALDATA!$H$2:$H$20871,PERSALDATA!$A$2:$A$20871,WORKING!A23,PERSALDATA!$D$2:$D$20871,WORKING!B23,PERSALDATA!$E$2:$E$20871,WORKING!C23)</f>
        <v>363415.13</v>
      </c>
    </row>
    <row r="24" spans="1:29" x14ac:dyDescent="0.25">
      <c r="A24" s="2">
        <f>Results!$D$3</f>
        <v>46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0.74003633837698035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6.6795014963608956E-2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7.6280079626716776E-2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0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9.6203770488012097E-2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2.0296252456551533E-2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3.885440881303716E-4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7.0202713948369522E-2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6.9237199203732835E-2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6.8237199203732848E-2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6.6237199203732833E-2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1.3849970644277294E-2</v>
      </c>
      <c r="AB24" s="2">
        <f>SUMIFS(PERSALDATA!$G$2:$G$20871,PERSALDATA!$A$2:$A$20871,WORKING!A24,PERSALDATA!$D$2:$D$20871,WORKING!B24,PERSALDATA!$E$2:$E$20871,WORKING!C24,PERSALDATA!$F$2:$F$20871,"S&amp;W: BASIC SALARY (RES)")</f>
        <v>1</v>
      </c>
      <c r="AC24" s="2">
        <f>SUMIFS(PERSALDATA!$H$2:$H$20871,PERSALDATA!$A$2:$A$20871,WORKING!A24,PERSALDATA!$D$2:$D$20871,WORKING!B24,PERSALDATA!$E$2:$E$20871,WORKING!C24)</f>
        <v>165180.74</v>
      </c>
    </row>
    <row r="25" spans="1:29" x14ac:dyDescent="0.25">
      <c r="A25" s="2">
        <f>Results!$D$3</f>
        <v>46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0.70265812001753136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5.9703815931488588E-2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5.1930242311032257E-2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1.1827398142814679E-3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8.1775516268249124E-2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9.1344757283277012E-2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4.1745155208692594E-3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2.7958749191467358E-4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1.6442293080010212E-4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6.7862824305562151E-3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7.319815881211704E-2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7.070733032091342E-2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6.9707330320913405E-2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6.7707330320913417E-2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1.2990219808932058E-2</v>
      </c>
      <c r="AB25" s="2">
        <f>SUMIFS(PERSALDATA!$G$2:$G$20871,PERSALDATA!$A$2:$A$20871,WORKING!A25,PERSALDATA!$D$2:$D$20871,WORKING!B25,PERSALDATA!$E$2:$E$20871,WORKING!C25,PERSALDATA!$F$2:$F$20871,"S&amp;W: BASIC SALARY (RES)")</f>
        <v>8</v>
      </c>
      <c r="AC25" s="2">
        <f>SUMIFS(PERSALDATA!$H$2:$H$20871,PERSALDATA!$A$2:$A$20871,WORKING!A25,PERSALDATA!$D$2:$D$20871,WORKING!B25,PERSALDATA!$E$2:$E$20871,WORKING!C25)</f>
        <v>2189475.63</v>
      </c>
    </row>
    <row r="26" spans="1:29" x14ac:dyDescent="0.25">
      <c r="A26" s="2">
        <f>Results!$D$3</f>
        <v>46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0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0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1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0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0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0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7.5999999999999998E-2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7.0000000000000007E-2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6.9000000000000006E-2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6.7000000000000004E-2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1.4999999999999999E-2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10648.95</v>
      </c>
    </row>
    <row r="27" spans="1:29" x14ac:dyDescent="0.25">
      <c r="A27" s="2">
        <f>Results!$D$3</f>
        <v>46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0.70092928887816519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4.4755595001561302E-2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2.6072511152460121E-2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6.4030351037082323E-2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2.6796888887785378E-2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7.1208725248808738E-2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8.6597097227357461E-3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1.9607941530885915E-4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5.735085065609228E-2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7.4393645596842028E-2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7.0141228221792168E-2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6.9141228221792181E-2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6.7141228221792179E-2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1.4204017808166686E-2</v>
      </c>
      <c r="AB27" s="2">
        <f>SUMIFS(PERSALDATA!$G$2:$G$20871,PERSALDATA!$A$2:$A$20871,WORKING!A27,PERSALDATA!$D$2:$D$20871,WORKING!B27,PERSALDATA!$E$2:$E$20871,WORKING!C27,PERSALDATA!$F$2:$F$20871,"S&amp;W: BASIC SALARY (RES)")</f>
        <v>18</v>
      </c>
      <c r="AC27" s="2">
        <f>SUMIFS(PERSALDATA!$H$2:$H$20871,PERSALDATA!$A$2:$A$20871,WORKING!A27,PERSALDATA!$D$2:$D$20871,WORKING!B27,PERSALDATA!$E$2:$E$20871,WORKING!C27)</f>
        <v>7076418.4900000002</v>
      </c>
    </row>
    <row r="28" spans="1:29" x14ac:dyDescent="0.25">
      <c r="A28" s="2">
        <f>Results!$D$3</f>
        <v>46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0.74970752777031113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6.1860936452508612E-2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2.8787816030726294E-2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1.8761697908159451E-2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3.2448809530815553E-2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9.6432129094178393E-2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7.8789812271760785E-3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1.7558699153800227E-4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2.9296169950462467E-3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1.01689799954005E-3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7.4266409315096218E-2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7.0198853982654977E-2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6.9198853982654948E-2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6.719885398265496E-2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1.4078816811703799E-2</v>
      </c>
      <c r="AB28" s="2">
        <f>SUMIFS(PERSALDATA!$G$2:$G$20871,PERSALDATA!$A$2:$A$20871,WORKING!A28,PERSALDATA!$D$2:$D$20871,WORKING!B28,PERSALDATA!$E$2:$E$20871,WORKING!C28,PERSALDATA!$F$2:$F$20871,"S&amp;W: BASIC SALARY (RES)")</f>
        <v>21</v>
      </c>
      <c r="AC28" s="2">
        <f>SUMIFS(PERSALDATA!$H$2:$H$20871,PERSALDATA!$A$2:$A$20871,WORKING!A28,PERSALDATA!$D$2:$D$20871,WORKING!B28,PERSALDATA!$E$2:$E$20871,WORKING!C28)</f>
        <v>9097598.7800000012</v>
      </c>
    </row>
    <row r="29" spans="1:29" x14ac:dyDescent="0.25">
      <c r="A29" s="2">
        <f>Results!$D$3</f>
        <v>46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0.84514483802844953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0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0.15485516197155039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0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0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0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7.5999999999999984E-2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6.9999999999999993E-2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6.9000000000000006E-2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6.7000000000000004E-2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1.4999999999999999E-2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12548.5</v>
      </c>
    </row>
    <row r="30" spans="1:29" x14ac:dyDescent="0.25">
      <c r="A30" s="2">
        <f>Results!$D$3</f>
        <v>46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0.69463119011527641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5.2307802380098016E-2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3.4195727524220778E-3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1.1625299161331983E-2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1.0738804687287423E-2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9.0301731887458214E-2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1.6213344151132545E-2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1.0986427482378015E-4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0.11512826885123795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4.906490268559752E-3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6.1763147037198821E-4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1.4785976374282004E-2</v>
      </c>
      <c r="AB30" s="2">
        <f>SUMIFS(PERSALDATA!$G$2:$G$20871,PERSALDATA!$A$2:$A$20871,WORKING!A30,PERSALDATA!$D$2:$D$20871,WORKING!B30,PERSALDATA!$E$2:$E$20871,WORKING!C30,PERSALDATA!$F$2:$F$20871,"S&amp;W: BASIC SALARY (RES)")</f>
        <v>23</v>
      </c>
      <c r="AC30" s="2">
        <f>SUMIFS(PERSALDATA!$H$2:$H$20871,PERSALDATA!$A$2:$A$20871,WORKING!A30,PERSALDATA!$D$2:$D$20871,WORKING!B30,PERSALDATA!$E$2:$E$20871,WORKING!C30)</f>
        <v>14380743.899999999</v>
      </c>
    </row>
    <row r="31" spans="1:29" x14ac:dyDescent="0.25">
      <c r="A31" s="2">
        <f>Results!$D$3</f>
        <v>46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0.69991688718467104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0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0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9.09888672055994E-2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0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1.190656815893328E-4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0.20897517992814019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1.4998214014776159E-2</v>
      </c>
      <c r="AB31" s="2">
        <f>SUMIFS(PERSALDATA!$G$2:$G$20871,PERSALDATA!$A$2:$A$20871,WORKING!A31,PERSALDATA!$D$2:$D$20871,WORKING!B31,PERSALDATA!$E$2:$E$20871,WORKING!C31,PERSALDATA!$F$2:$F$20871,"S&amp;W: BASIC SALARY (RES)")</f>
        <v>1</v>
      </c>
      <c r="AC31" s="2">
        <f>SUMIFS(PERSALDATA!$H$2:$H$20871,PERSALDATA!$A$2:$A$20871,WORKING!A31,PERSALDATA!$D$2:$D$20871,WORKING!B31,PERSALDATA!$E$2:$E$20871,WORKING!C31)</f>
        <v>587574.85000000009</v>
      </c>
    </row>
    <row r="32" spans="1:29" x14ac:dyDescent="0.25">
      <c r="A32" s="2">
        <f>Results!$D$3</f>
        <v>46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0.62477803709047686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4.0384151042196371E-2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1.2139455086766957E-2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1.5468321722806393E-2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8.1220933810109974E-2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1.6686261759711284E-2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7.4905784407749856E-5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0.20924793370352451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1.4584759761090282E-2</v>
      </c>
      <c r="AB32" s="2">
        <f>SUMIFS(PERSALDATA!$G$2:$G$20871,PERSALDATA!$A$2:$A$20871,WORKING!A32,PERSALDATA!$D$2:$D$20871,WORKING!B32,PERSALDATA!$E$2:$E$20871,WORKING!C32,PERSALDATA!$F$2:$F$20871,"S&amp;W: BASIC SALARY (RES)")</f>
        <v>8</v>
      </c>
      <c r="AC32" s="2">
        <f>SUMIFS(PERSALDATA!$H$2:$H$20871,PERSALDATA!$A$2:$A$20871,WORKING!A32,PERSALDATA!$D$2:$D$20871,WORKING!B32,PERSALDATA!$E$2:$E$20871,WORKING!C32)</f>
        <v>7159794.1899999995</v>
      </c>
    </row>
    <row r="33" spans="1:29" x14ac:dyDescent="0.25">
      <c r="A33" s="2">
        <f>Results!$D$3</f>
        <v>46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0.68243489176380545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5.6869574313650459E-2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1.6921480390699579E-2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8.871638057398902E-2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2.5036788708492748E-2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5.6372703244444877E-5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0.12996451154611832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1.474533220359084E-2</v>
      </c>
      <c r="AB33" s="2">
        <f>SUMIFS(PERSALDATA!$G$2:$G$20871,PERSALDATA!$A$2:$A$20871,WORKING!A33,PERSALDATA!$D$2:$D$20871,WORKING!B33,PERSALDATA!$E$2:$E$20871,WORKING!C33,PERSALDATA!$F$2:$F$20871,"S&amp;W: BASIC SALARY (RES)")</f>
        <v>1</v>
      </c>
      <c r="AC33" s="2">
        <f>SUMIFS(PERSALDATA!$H$2:$H$20871,PERSALDATA!$A$2:$A$20871,WORKING!A33,PERSALDATA!$D$2:$D$20871,WORKING!B33,PERSALDATA!$E$2:$E$20871,WORKING!C33)</f>
        <v>1241026.17</v>
      </c>
    </row>
    <row r="34" spans="1:29" x14ac:dyDescent="0.25">
      <c r="A34" s="2">
        <f>Results!$D$3</f>
        <v>46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0.59996797549128023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8.2995033713287716E-2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1.4513796709130557E-2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7.799567759078016E-2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5.3554072667234896E-5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0.224473962422854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1.3536564232573715E-2</v>
      </c>
      <c r="AB34" s="2">
        <f>SUMIFS(PERSALDATA!$G$2:$G$20871,PERSALDATA!$A$2:$A$20871,WORKING!A34,PERSALDATA!$D$2:$D$20871,WORKING!B34,PERSALDATA!$E$2:$E$20871,WORKING!C34,PERSALDATA!$F$2:$F$20871,"S&amp;W: BASIC SALARY (RES)")</f>
        <v>2</v>
      </c>
      <c r="AC34" s="2">
        <f>SUMIFS(PERSALDATA!$H$2:$H$20871,PERSALDATA!$A$2:$A$20871,WORKING!A34,PERSALDATA!$D$2:$D$20871,WORKING!B34,PERSALDATA!$E$2:$E$20871,WORKING!C34)</f>
        <v>2612686.4500000002</v>
      </c>
    </row>
    <row r="35" spans="1:29" x14ac:dyDescent="0.25">
      <c r="A35" s="2">
        <f>Results!$D$3</f>
        <v>46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46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46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46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46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0.68172109761306954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5.6294750280865703E-2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8.6399953639049273E-2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0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5.9749431353963663E-2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8.8622715373177133E-2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1.8916681556902581E-2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4.9654509941482461E-4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7.7988250835572719E-3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7.0270095562387738E-2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7.0032241933918979E-2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6.9032241933918978E-2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6.7032241933918948E-2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1.2800311048613584E-2</v>
      </c>
      <c r="AB39" s="2">
        <f>SUMIFS(PERSALDATA!$G$2:$G$20871,PERSALDATA!$A$2:$A$20871,WORKING!A39,PERSALDATA!$D$2:$D$20871,WORKING!B39,PERSALDATA!$E$2:$E$20871,WORKING!C39,PERSALDATA!$F$2:$F$20871,"S&amp;W: BASIC SALARY (RES)")</f>
        <v>9</v>
      </c>
      <c r="AC39" s="2">
        <f>SUMIFS(PERSALDATA!$H$2:$H$20871,PERSALDATA!$A$2:$A$20871,WORKING!A39,PERSALDATA!$D$2:$D$20871,WORKING!B39,PERSALDATA!$E$2:$E$20871,WORKING!C39)</f>
        <v>1138889.5</v>
      </c>
    </row>
    <row r="40" spans="1:29" x14ac:dyDescent="0.25">
      <c r="A40" s="2">
        <f>Results!$D$3</f>
        <v>46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0.69444004181334562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2.985263282893812E-2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4.1147667579514983E-2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2.6706360246793355E-2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4.6397713725862183E-2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9.0710795172884839E-3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4.2647271464635084E-4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0.12488591428166659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2.70721172919446E-2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7.3246666307411987E-2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6.9989118727906779E-2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6.8989118727906779E-2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6.6989118727906777E-2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1.3975792491885684E-2</v>
      </c>
      <c r="AB40" s="2">
        <f>SUMIFS(PERSALDATA!$G$2:$G$20871,PERSALDATA!$A$2:$A$20871,WORKING!A40,PERSALDATA!$D$2:$D$20871,WORKING!B40,PERSALDATA!$E$2:$E$20871,WORKING!C40,PERSALDATA!$F$2:$F$20871,"S&amp;W: BASIC SALARY (RES)")</f>
        <v>2</v>
      </c>
      <c r="AC40" s="2">
        <f>SUMIFS(PERSALDATA!$H$2:$H$20871,PERSALDATA!$A$2:$A$20871,WORKING!A40,PERSALDATA!$D$2:$D$20871,WORKING!B40,PERSALDATA!$E$2:$E$20871,WORKING!C40)</f>
        <v>328086.6399999999</v>
      </c>
    </row>
    <row r="41" spans="1:29" x14ac:dyDescent="0.25">
      <c r="A41" s="2">
        <f>Results!$D$3</f>
        <v>46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0.75258028713679148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6.2948993884883689E-2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6.3130355212357783E-2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5.4325331985371041E-3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-1.4398151188783354E-3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9.7834551287709737E-2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1.9125673376611224E-2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3.8742102198741665E-4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7.1181935592196516E-2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6.9347099221093264E-2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6.8347099221093263E-2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6.6347099221093261E-2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1.4068830583267997E-2</v>
      </c>
      <c r="AB41" s="2">
        <f>SUMIFS(PERSALDATA!$G$2:$G$20871,PERSALDATA!$A$2:$A$20871,WORKING!A41,PERSALDATA!$D$2:$D$20871,WORKING!B41,PERSALDATA!$E$2:$E$20871,WORKING!C41,PERSALDATA!$F$2:$F$20871,"S&amp;W: BASIC SALARY (RES)")</f>
        <v>1</v>
      </c>
      <c r="AC41" s="2">
        <f>SUMIFS(PERSALDATA!$H$2:$H$20871,PERSALDATA!$A$2:$A$20871,WORKING!A41,PERSALDATA!$D$2:$D$20871,WORKING!B41,PERSALDATA!$E$2:$E$20871,WORKING!C41)</f>
        <v>180578.74</v>
      </c>
    </row>
    <row r="42" spans="1:29" x14ac:dyDescent="0.25">
      <c r="A42" s="2">
        <f>Results!$D$3</f>
        <v>46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0.72771916727790742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5.8114565416198555E-2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5.0013864669238253E-2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2.4137627422000608E-3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5.0992208561165139E-2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9.3007735335001882E-2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1.1971511242476375E-2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3.0622644353872869E-4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5.0326146825005955E-3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4.2834362977278538E-4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7.2912837204994183E-2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7.026474448172508E-2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6.926474448172508E-2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6.7264744481725078E-2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1.3480315504890863E-2</v>
      </c>
      <c r="AB42" s="2">
        <f>SUMIFS(PERSALDATA!$G$2:$G$20871,PERSALDATA!$A$2:$A$20871,WORKING!A42,PERSALDATA!$D$2:$D$20871,WORKING!B42,PERSALDATA!$E$2:$E$20871,WORKING!C42,PERSALDATA!$F$2:$F$20871,"S&amp;W: BASIC SALARY (RES)")</f>
        <v>23</v>
      </c>
      <c r="AC42" s="2">
        <f>SUMIFS(PERSALDATA!$H$2:$H$20871,PERSALDATA!$A$2:$A$20871,WORKING!A42,PERSALDATA!$D$2:$D$20871,WORKING!B42,PERSALDATA!$E$2:$E$20871,WORKING!C42)</f>
        <v>5254542.9500000011</v>
      </c>
    </row>
    <row r="43" spans="1:29" x14ac:dyDescent="0.25">
      <c r="A43" s="2">
        <f>Results!$D$3</f>
        <v>46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0.73137861421265105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6.1545312640633891E-2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3.6135187871564639E-2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1.1233782771867074E-3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4.9990264333615489E-2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9.5078541894175445E-2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1.3562410916528952E-2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2.4135277484686838E-4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9.7549009695078945E-3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1.1900361092889772E-3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7.3953589422431687E-2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7.0388502086288565E-2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6.9388502086288592E-2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6.7388502086288576E-2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1.3704497925299593E-2</v>
      </c>
      <c r="AB43" s="2">
        <f>SUMIFS(PERSALDATA!$G$2:$G$20871,PERSALDATA!$A$2:$A$20871,WORKING!A43,PERSALDATA!$D$2:$D$20871,WORKING!B43,PERSALDATA!$E$2:$E$20871,WORKING!C43,PERSALDATA!$F$2:$F$20871,"S&amp;W: BASIC SALARY (RES)")</f>
        <v>20</v>
      </c>
      <c r="AC43" s="2">
        <f>SUMIFS(PERSALDATA!$H$2:$H$20871,PERSALDATA!$A$2:$A$20871,WORKING!A43,PERSALDATA!$D$2:$D$20871,WORKING!B43,PERSALDATA!$E$2:$E$20871,WORKING!C43)</f>
        <v>7463639.0700000003</v>
      </c>
    </row>
    <row r="44" spans="1:29" x14ac:dyDescent="0.25">
      <c r="A44" s="2">
        <f>Results!$D$3</f>
        <v>46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0.74608066199136547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5.1371031329835101E-2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2.7504055565249888E-2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1.1621841562121035E-2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2.484417698406545E-2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7.8719080662931235E-2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7.6588877144279166E-3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1.9836363093411456E-4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5.2001900559069808E-2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7.4257510254817916E-2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7.0097622099108498E-2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6.9097622099108483E-2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6.7097622099108481E-2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1.4211801057296256E-2</v>
      </c>
      <c r="AB44" s="2">
        <f>SUMIFS(PERSALDATA!$G$2:$G$20871,PERSALDATA!$A$2:$A$20871,WORKING!A44,PERSALDATA!$D$2:$D$20871,WORKING!B44,PERSALDATA!$E$2:$E$20871,WORKING!C44,PERSALDATA!$F$2:$F$20871,"S&amp;W: BASIC SALARY (RES)")</f>
        <v>5</v>
      </c>
      <c r="AC44" s="2">
        <f>SUMIFS(PERSALDATA!$H$2:$H$20871,PERSALDATA!$A$2:$A$20871,WORKING!A44,PERSALDATA!$D$2:$D$20871,WORKING!B44,PERSALDATA!$E$2:$E$20871,WORKING!C44)</f>
        <v>1734289.69</v>
      </c>
    </row>
    <row r="45" spans="1:29" x14ac:dyDescent="0.25">
      <c r="A45" s="2">
        <f>Results!$D$3</f>
        <v>46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0.73518843742218265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5.9636216416480634E-2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2.9747953794319895E-2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6.330962539911787E-3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4.3245193223994144E-2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9.5716832970103763E-2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1.2599261801466101E-2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1.7403447574175545E-4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1.1887990015452914E-2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5.0549132795660069E-3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4.1820406078054654E-4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7.4344588216767621E-2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7.0351198360416728E-2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6.9351198360416755E-2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6.7351198360416711E-2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1.3902492277589168E-2</v>
      </c>
      <c r="AB45" s="2">
        <f>SUMIFS(PERSALDATA!$G$2:$G$20871,PERSALDATA!$A$2:$A$20871,WORKING!A45,PERSALDATA!$D$2:$D$20871,WORKING!B45,PERSALDATA!$E$2:$E$20871,WORKING!C45,PERSALDATA!$F$2:$F$20871,"S&amp;W: BASIC SALARY (RES)")</f>
        <v>58</v>
      </c>
      <c r="AC45" s="2">
        <f>SUMIFS(PERSALDATA!$H$2:$H$20871,PERSALDATA!$A$2:$A$20871,WORKING!A45,PERSALDATA!$D$2:$D$20871,WORKING!B45,PERSALDATA!$E$2:$E$20871,WORKING!C45)</f>
        <v>21238435.569999997</v>
      </c>
    </row>
    <row r="46" spans="1:29" x14ac:dyDescent="0.25">
      <c r="A46" s="2">
        <f>Results!$D$3</f>
        <v>46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0.7101175705654218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5.9176464213785147E-2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1.8252636441228633E-2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1.5399224289621768E-3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3.8133841448948623E-2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9.2314934122942949E-2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1.1661684433135663E-4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8.0348013934379375E-2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7.5146673410751916E-2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7.0389481257321945E-2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6.9389481257321944E-2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6.7389481257321956E-2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1.4152453578982371E-2</v>
      </c>
      <c r="AB46" s="2">
        <f>SUMIFS(PERSALDATA!$G$2:$G$20871,PERSALDATA!$A$2:$A$20871,WORKING!A46,PERSALDATA!$D$2:$D$20871,WORKING!B46,PERSALDATA!$E$2:$E$20871,WORKING!C46,PERSALDATA!$F$2:$F$20871,"S&amp;W: BASIC SALARY (RES)")</f>
        <v>2</v>
      </c>
      <c r="AC46" s="2">
        <f>SUMIFS(PERSALDATA!$H$2:$H$20871,PERSALDATA!$A$2:$A$20871,WORKING!A46,PERSALDATA!$D$2:$D$20871,WORKING!B46,PERSALDATA!$E$2:$E$20871,WORKING!C46)</f>
        <v>1199826.67</v>
      </c>
    </row>
    <row r="47" spans="1:29" x14ac:dyDescent="0.25">
      <c r="A47" s="2">
        <f>Results!$D$3</f>
        <v>46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0.67742120129726591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5.878853260742236E-2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7.9388045199355259E-3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7.8919386807708852E-3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1.9280410201712016E-2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8.8064449780044601E-2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1.8809411059245065E-2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1.0878683000887654E-4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1.4716062267924384E-3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0.10037761298625786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1.9847245810544478E-2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1.4590079976725154E-2</v>
      </c>
      <c r="AB47" s="2">
        <f>SUMIFS(PERSALDATA!$G$2:$G$20871,PERSALDATA!$A$2:$A$20871,WORKING!A47,PERSALDATA!$D$2:$D$20871,WORKING!B47,PERSALDATA!$E$2:$E$20871,WORKING!C47,PERSALDATA!$F$2:$F$20871,"S&amp;W: BASIC SALARY (RES)")</f>
        <v>21</v>
      </c>
      <c r="AC47" s="2">
        <f>SUMIFS(PERSALDATA!$H$2:$H$20871,PERSALDATA!$A$2:$A$20871,WORKING!A47,PERSALDATA!$D$2:$D$20871,WORKING!B47,PERSALDATA!$E$2:$E$20871,WORKING!C47)</f>
        <v>13773358.41</v>
      </c>
    </row>
    <row r="48" spans="1:29" x14ac:dyDescent="0.25">
      <c r="A48" s="2">
        <f>Results!$D$3</f>
        <v>46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0.71198856743893735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0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2.3047194965513114E-2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9.2558303221332835E-2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1.904760635794325E-2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8.3978216655588409E-5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4.4041557069452175E-2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0.10923279273016567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1.4653032402267469E-2</v>
      </c>
      <c r="AB48" s="2">
        <f>SUMIFS(PERSALDATA!$G$2:$G$20871,PERSALDATA!$A$2:$A$20871,WORKING!A48,PERSALDATA!$D$2:$D$20871,WORKING!B48,PERSALDATA!$E$2:$E$20871,WORKING!C48,PERSALDATA!$F$2:$F$20871,"S&amp;W: BASIC SALARY (RES)")</f>
        <v>1</v>
      </c>
      <c r="AC48" s="2">
        <f>SUMIFS(PERSALDATA!$H$2:$H$20871,PERSALDATA!$A$2:$A$20871,WORKING!A48,PERSALDATA!$D$2:$D$20871,WORKING!B48,PERSALDATA!$E$2:$E$20871,WORKING!C48)</f>
        <v>833073.17999999993</v>
      </c>
    </row>
    <row r="49" spans="1:29" x14ac:dyDescent="0.25">
      <c r="A49" s="2">
        <f>Results!$D$3</f>
        <v>46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0.60002946269822177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4.3676112271051462E-2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1.564884347791607E-2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1.8974006835945693E-2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7.8003629150643849E-2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1.6635434662133811E-2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7.3782924292806036E-5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0.22267334293285293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2.9629648697741848E-3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1.322420177167485E-3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1.4479550501427683E-2</v>
      </c>
      <c r="AB49" s="2">
        <f>SUMIFS(PERSALDATA!$G$2:$G$20871,PERSALDATA!$A$2:$A$20871,WORKING!A49,PERSALDATA!$D$2:$D$20871,WORKING!B49,PERSALDATA!$E$2:$E$20871,WORKING!C49,PERSALDATA!$F$2:$F$20871,"S&amp;W: BASIC SALARY (RES)")</f>
        <v>13</v>
      </c>
      <c r="AC49" s="2">
        <f>SUMIFS(PERSALDATA!$H$2:$H$20871,PERSALDATA!$A$2:$A$20871,WORKING!A49,PERSALDATA!$D$2:$D$20871,WORKING!B49,PERSALDATA!$E$2:$E$20871,WORKING!C49)</f>
        <v>13433324.979999999</v>
      </c>
    </row>
    <row r="50" spans="1:29" x14ac:dyDescent="0.25">
      <c r="A50" s="2">
        <f>Results!$D$3</f>
        <v>46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0.56789198372439798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6.9772381517560558E-2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3.7875698134293964E-2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8.462761777011182E-3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7.3825839227424958E-2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1.052006458488663E-2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6.317649105171339E-5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0.23158809454337301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1.4303975453964647E-2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2583081.1</v>
      </c>
    </row>
    <row r="51" spans="1:29" x14ac:dyDescent="0.25">
      <c r="A51" s="2">
        <f>Results!$D$3</f>
        <v>46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0.58494787397408676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4.8745656164507226E-2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1.2004863388984433E-2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7.6043098573456813E-2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2.5036751644223424E-2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5.0275979808042551E-5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0.2531714802749333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1.4819172909468114E-2</v>
      </c>
      <c r="AB51" s="2">
        <f>SUMIFS(PERSALDATA!$G$2:$G$20871,PERSALDATA!$A$2:$A$20871,WORKING!A51,PERSALDATA!$D$2:$D$20871,WORKING!B51,PERSALDATA!$E$2:$E$20871,WORKING!C51,PERSALDATA!$F$2:$F$20871,"S&amp;W: BASIC SALARY (RES)")</f>
        <v>2</v>
      </c>
      <c r="AC51" s="2">
        <f>SUMIFS(PERSALDATA!$H$2:$H$20871,PERSALDATA!$A$2:$A$20871,WORKING!A51,PERSALDATA!$D$2:$D$20871,WORKING!B51,PERSALDATA!$E$2:$E$20871,WORKING!C51)</f>
        <v>2783038.75</v>
      </c>
    </row>
    <row r="52" spans="1:29" x14ac:dyDescent="0.25">
      <c r="A52" s="2">
        <f>Results!$D$3</f>
        <v>46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46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46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1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2192013.9500000002</v>
      </c>
    </row>
    <row r="55" spans="1:29" x14ac:dyDescent="0.25">
      <c r="A55" s="2">
        <f>Results!$D$3</f>
        <v>46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46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0.63317334916758061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7.6703146941028297E-2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6.2430589323953026E-2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0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0.12279942770418291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8.231141780716178E-2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2.1483984357206561E-2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4.0441148417627354E-4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6.9367321471058916E-4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7.2974467199238141E-2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7.1217685522323215E-2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7.0217685522323214E-2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6.8217685522323213E-2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1.2215483572315316E-2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129744.09</v>
      </c>
    </row>
    <row r="57" spans="1:29" x14ac:dyDescent="0.25">
      <c r="A57" s="2">
        <f>Results!$D$3</f>
        <v>46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46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0.67843762302402688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5.6750281022216457E-2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3.3685985679264049E-2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7.9806841064753633E-3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0.11885413850923743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8.8196198558973413E-2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1.5745952572677326E-2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3.4913652712908333E-4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7.5103823027505248E-2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7.1445952220845918E-2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7.0445952220845931E-2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6.8445952220845915E-2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1.270666108926554E-2</v>
      </c>
      <c r="AB58" s="2">
        <f>SUMIFS(PERSALDATA!$G$2:$G$20871,PERSALDATA!$A$2:$A$20871,WORKING!A58,PERSALDATA!$D$2:$D$20871,WORKING!B58,PERSALDATA!$E$2:$E$20871,WORKING!C58,PERSALDATA!$F$2:$F$20871,"S&amp;W: BASIC SALARY (RES)")</f>
        <v>2</v>
      </c>
      <c r="AC58" s="2">
        <f>SUMIFS(PERSALDATA!$H$2:$H$20871,PERSALDATA!$A$2:$A$20871,WORKING!A58,PERSALDATA!$D$2:$D$20871,WORKING!B58,PERSALDATA!$E$2:$E$20871,WORKING!C58)</f>
        <v>400760.13</v>
      </c>
    </row>
    <row r="59" spans="1:29" x14ac:dyDescent="0.25">
      <c r="A59" s="2">
        <f>Results!$D$3</f>
        <v>46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0.71377309225214935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4.0842895624620949E-2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3.6723954082139715E-2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4.7078584922498152E-3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4.10150838139944E-2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6.4280608962036592E-2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1.7157598057732468E-2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2.9990752851204215E-4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8.1141843281378551E-2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5.7157905186209667E-5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7.3783190663153295E-2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7.0247986716388544E-2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6.9247986716388543E-2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6.7247986716388541E-2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1.3829415818630307E-2</v>
      </c>
      <c r="AB59" s="2">
        <f>SUMIFS(PERSALDATA!$G$2:$G$20871,PERSALDATA!$A$2:$A$20871,WORKING!A59,PERSALDATA!$D$2:$D$20871,WORKING!B59,PERSALDATA!$E$2:$E$20871,WORKING!C59,PERSALDATA!$F$2:$F$20871,"S&amp;W: BASIC SALARY (RES)")</f>
        <v>10</v>
      </c>
      <c r="AC59" s="2">
        <f>SUMIFS(PERSALDATA!$H$2:$H$20871,PERSALDATA!$A$2:$A$20871,WORKING!A59,PERSALDATA!$D$2:$D$20871,WORKING!B59,PERSALDATA!$E$2:$E$20871,WORKING!C59)</f>
        <v>2099447.13</v>
      </c>
    </row>
    <row r="60" spans="1:29" x14ac:dyDescent="0.25">
      <c r="A60" s="2">
        <f>Results!$D$3</f>
        <v>46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0.71949090617211331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6.0169121440138702E-2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4.4900674718558693E-2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2.3070044276499911E-2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3.5700193871135509E-2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9.3533316134342404E-2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2.2770019076689133E-2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2.3268527431928639E-4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1.3303903620313687E-4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7.3087351435585424E-2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7.0086496160881459E-2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6.9086496160881472E-2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6.7086496160881456E-2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1.3787496692039799E-2</v>
      </c>
      <c r="AB60" s="2">
        <f>SUMIFS(PERSALDATA!$G$2:$G$20871,PERSALDATA!$A$2:$A$20871,WORKING!A60,PERSALDATA!$D$2:$D$20871,WORKING!B60,PERSALDATA!$E$2:$E$20871,WORKING!C60,PERSALDATA!$F$2:$F$20871,"S&amp;W: BASIC SALARY (RES)")</f>
        <v>3</v>
      </c>
      <c r="AC60" s="2">
        <f>SUMIFS(PERSALDATA!$H$2:$H$20871,PERSALDATA!$A$2:$A$20871,WORKING!A60,PERSALDATA!$D$2:$D$20871,WORKING!B60,PERSALDATA!$E$2:$E$20871,WORKING!C60)</f>
        <v>901990.89999999991</v>
      </c>
    </row>
    <row r="61" spans="1:29" x14ac:dyDescent="0.25">
      <c r="A61" s="2">
        <f>Results!$D$3</f>
        <v>46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0.73857296479539725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6.1780479871520612E-2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3.8649630393107398E-2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1.7536711518433466E-2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2.9456505652751794E-2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9.6013869892250941E-2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1.7789546903034699E-2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2.0029097350383654E-4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7.3475019169262357E-2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7.0055351280860212E-2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6.9055351280860211E-2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6.7055351280860195E-2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1.3975403594709553E-2</v>
      </c>
      <c r="AB61" s="2">
        <f>SUMIFS(PERSALDATA!$G$2:$G$20871,PERSALDATA!$A$2:$A$20871,WORKING!A61,PERSALDATA!$D$2:$D$20871,WORKING!B61,PERSALDATA!$E$2:$E$20871,WORKING!C61,PERSALDATA!$F$2:$F$20871,"S&amp;W: BASIC SALARY (RES)")</f>
        <v>3</v>
      </c>
      <c r="AC61" s="2">
        <f>SUMIFS(PERSALDATA!$H$2:$H$20871,PERSALDATA!$A$2:$A$20871,WORKING!A61,PERSALDATA!$D$2:$D$20871,WORKING!B61,PERSALDATA!$E$2:$E$20871,WORKING!C61)</f>
        <v>1047875.48</v>
      </c>
    </row>
    <row r="62" spans="1:29" x14ac:dyDescent="0.25">
      <c r="A62" s="2">
        <f>Results!$D$3</f>
        <v>46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0.71864789434449361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5.6874292347913587E-2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2.2889162240415751E-2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5.2877366860620827E-2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2.1168022396238956E-2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8.8576200843132266E-2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1.8119396585363004E-2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1.6417377976666667E-4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6.8864920788395652E-3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1.3796998523215802E-2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7.4556775983275758E-2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7.0088628713539436E-2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6.9088628713539449E-2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6.7088628713539447E-2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1.433667962375368E-2</v>
      </c>
      <c r="AB62" s="2">
        <f>SUMIFS(PERSALDATA!$G$2:$G$20871,PERSALDATA!$A$2:$A$20871,WORKING!A62,PERSALDATA!$D$2:$D$20871,WORKING!B62,PERSALDATA!$E$2:$E$20871,WORKING!C62,PERSALDATA!$F$2:$F$20871,"S&amp;W: BASIC SALARY (RES)")</f>
        <v>20</v>
      </c>
      <c r="AC62" s="2">
        <f>SUMIFS(PERSALDATA!$H$2:$H$20871,PERSALDATA!$A$2:$A$20871,WORKING!A62,PERSALDATA!$D$2:$D$20871,WORKING!B62,PERSALDATA!$E$2:$E$20871,WORKING!C62)</f>
        <v>8309609.5</v>
      </c>
    </row>
    <row r="63" spans="1:29" x14ac:dyDescent="0.25">
      <c r="A63" s="2">
        <f>Results!$D$3</f>
        <v>46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0.75625624259484048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9.0916138903864741E-2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1.2763746633124547E-2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3.4249008613798774E-3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2.8440463886742186E-2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9.8313013716574471E-2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9.7532042605915706E-3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1.3228914288198416E-4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7.5428121750296909E-2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7.0298969491969898E-2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6.9298969491969897E-2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6.7298969491969896E-2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1.4379952505058767E-2</v>
      </c>
      <c r="AB63" s="2">
        <f>SUMIFS(PERSALDATA!$G$2:$G$20871,PERSALDATA!$A$2:$A$20871,WORKING!A63,PERSALDATA!$D$2:$D$20871,WORKING!B63,PERSALDATA!$E$2:$E$20871,WORKING!C63,PERSALDATA!$F$2:$F$20871,"S&amp;W: BASIC SALARY (RES)")</f>
        <v>2</v>
      </c>
      <c r="AC63" s="2">
        <f>SUMIFS(PERSALDATA!$H$2:$H$20871,PERSALDATA!$A$2:$A$20871,WORKING!A63,PERSALDATA!$D$2:$D$20871,WORKING!B63,PERSALDATA!$E$2:$E$20871,WORKING!C63)</f>
        <v>1057683.1700000002</v>
      </c>
    </row>
    <row r="64" spans="1:29" x14ac:dyDescent="0.25">
      <c r="A64" s="2">
        <f>Results!$D$3</f>
        <v>46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0.69810085578664327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5.6423483300699455E-2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8.6784601605686441E-3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1.495175518725809E-2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2.2021767989990625E-2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9.0752797958048415E-2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2.5067244248369813E-2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1.0902511782184395E-4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8.3894610250599633E-2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1.4537861200974282E-2</v>
      </c>
      <c r="AB64" s="2">
        <f>SUMIFS(PERSALDATA!$G$2:$G$20871,PERSALDATA!$A$2:$A$20871,WORKING!A64,PERSALDATA!$D$2:$D$20871,WORKING!B64,PERSALDATA!$E$2:$E$20871,WORKING!C64,PERSALDATA!$F$2:$F$20871,"S&amp;W: BASIC SALARY (RES)")</f>
        <v>9</v>
      </c>
      <c r="AC64" s="2">
        <f>SUMIFS(PERSALDATA!$H$2:$H$20871,PERSALDATA!$A$2:$A$20871,WORKING!A64,PERSALDATA!$D$2:$D$20871,WORKING!B64,PERSALDATA!$E$2:$E$20871,WORKING!C64)</f>
        <v>5988619.9900000012</v>
      </c>
    </row>
    <row r="65" spans="1:29" x14ac:dyDescent="0.25">
      <c r="A65" s="2">
        <f>Results!$D$3</f>
        <v>46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0.74047760028742848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6.681018096307581E-2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0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9.6261884553010241E-2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2.1558089086857388E-2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1.0030434664306995E-4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7.4791940762984746E-2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1.4998495434800351E-2</v>
      </c>
      <c r="AB65" s="2">
        <f>SUMIFS(PERSALDATA!$G$2:$G$20871,PERSALDATA!$A$2:$A$20871,WORKING!A65,PERSALDATA!$D$2:$D$20871,WORKING!B65,PERSALDATA!$E$2:$E$20871,WORKING!C65,PERSALDATA!$F$2:$F$20871,"S&amp;W: BASIC SALARY (RES)")</f>
        <v>1</v>
      </c>
      <c r="AC65" s="2">
        <f>SUMIFS(PERSALDATA!$H$2:$H$20871,PERSALDATA!$A$2:$A$20871,WORKING!A65,PERSALDATA!$D$2:$D$20871,WORKING!B65,PERSALDATA!$E$2:$E$20871,WORKING!C65)</f>
        <v>639852.63000000012</v>
      </c>
    </row>
    <row r="66" spans="1:29" x14ac:dyDescent="0.25">
      <c r="A66" s="2">
        <f>Results!$D$3</f>
        <v>46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0.61372668491596272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3.6774247901292793E-2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0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1.7273507338321205E-2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7.9784261403564968E-2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1.7317243328768619E-2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7.0828006752336246E-5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0.17963562603899208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5.5417601066345287E-2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1.4739834969823897E-2</v>
      </c>
      <c r="AB66" s="2">
        <f>SUMIFS(PERSALDATA!$G$2:$G$20871,PERSALDATA!$A$2:$A$20871,WORKING!A66,PERSALDATA!$D$2:$D$20871,WORKING!B66,PERSALDATA!$E$2:$E$20871,WORKING!C66,PERSALDATA!$F$2:$F$20871,"S&amp;W: BASIC SALARY (RES)")</f>
        <v>3</v>
      </c>
      <c r="AC66" s="2">
        <f>SUMIFS(PERSALDATA!$H$2:$H$20871,PERSALDATA!$A$2:$A$20871,WORKING!A66,PERSALDATA!$D$2:$D$20871,WORKING!B66,PERSALDATA!$E$2:$E$20871,WORKING!C66)</f>
        <v>2716298.38</v>
      </c>
    </row>
    <row r="67" spans="1:29" x14ac:dyDescent="0.25">
      <c r="A67" s="2">
        <f>Results!$D$3</f>
        <v>46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0.51193195867436136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0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6.655103867235132E-2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4.5676992574576765E-5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0.16637630393580546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0.25509502172490739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1.4999314845111383E-2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765812.24</v>
      </c>
    </row>
    <row r="68" spans="1:29" x14ac:dyDescent="0.25">
      <c r="A68" s="2">
        <f>Results!$D$3</f>
        <v>46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46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46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46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46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46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46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46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46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46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46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46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46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46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46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46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46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46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46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46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46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46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46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46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46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46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46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46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46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46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46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46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46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46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46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46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46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46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46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46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46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46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46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46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46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46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46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46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46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46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46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46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46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46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46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46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46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46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46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46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46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46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46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46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46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46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46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46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46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46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46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46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46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46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46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46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46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46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46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46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46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46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46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46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46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46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46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46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46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46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46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46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46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46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46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46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46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46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46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46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46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46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46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46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46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46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46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46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46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46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46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46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46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46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46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46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46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46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46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46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46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46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46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46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46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46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46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46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46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46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46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46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46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46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46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46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46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46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46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46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46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46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46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46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46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46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46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46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46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46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46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46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46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46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46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46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46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46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46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46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46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46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46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46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46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46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46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46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46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46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46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46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46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46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46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46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46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46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46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46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46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46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46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46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46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46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46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46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46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46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46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46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46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46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46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46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46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46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46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46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46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46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46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46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46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46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46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46</v>
      </c>
      <c r="E3" s="74" t="str">
        <f>INDEX(MAPs!$I$7:$J$54,MATCH(Results!$D$3,MAPs!$I$7:$I$54,0),2)</f>
        <v>Government Communication And Information System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167.76321353065541</v>
      </c>
      <c r="N9" s="148">
        <f>IFERROR(SUMIFS('Employee Profile (2)'!C$4:C$50,'Employee Profile (2)'!$B$4:$B$50,Results!$D$3),"")</f>
        <v>0.38477801268498946</v>
      </c>
      <c r="O9" s="150" t="s">
        <v>620</v>
      </c>
      <c r="P9" s="143">
        <f>IFERROR(INDEX('Employee Profile (2)'!$AC$4:$AC$50,MATCH(Results!$D$3,'Employee Profile (2)'!$B$4:$B$50,0))*$Q9,"")</f>
        <v>272.84566596194503</v>
      </c>
      <c r="Q9" s="148">
        <f>IFERROR(SUMIFS('Employee Profile (2)'!J$4:J$50,'Employee Profile (2)'!$B$4:$B$50,Results!$D$3),"")</f>
        <v>0.62579281183932345</v>
      </c>
      <c r="R9" s="150" t="s">
        <v>627</v>
      </c>
      <c r="S9" s="144">
        <f>IFERROR(INDEX('Employee Profile (2)'!$AC$4:$AC$50,MATCH(Results!$D$3,'Employee Profile (2)'!$B$4:$B$50,0))*$T9,"")</f>
        <v>78.350951374207199</v>
      </c>
      <c r="T9" s="147">
        <f>IFERROR(SUMIFS('Employee Profile (2)'!N$4:N$50,'Employee Profile (2)'!$B$4:$B$50,Results!$D$3),"")</f>
        <v>0.17970401691331925</v>
      </c>
      <c r="U9" s="150" t="s">
        <v>632</v>
      </c>
      <c r="V9" s="144">
        <f>IFERROR(INDEX('Employee Profile (2)'!$AC$4:$AC$50,MATCH(Results!$D$3,'Employee Profile (2)'!$B$4:$B$50,0))*$W9,"")</f>
        <v>228.600422832981</v>
      </c>
      <c r="W9" s="147">
        <f>IFERROR(SUMIFS('Employee Profile (2)'!S$4:S$50,'Employee Profile (2)'!$B$4:$B$50,Results!$D$3),"")</f>
        <v>0.52431289640591972</v>
      </c>
      <c r="X9" s="150" t="s">
        <v>635</v>
      </c>
      <c r="Y9" s="144">
        <f>IFERROR(INDEX('Employee Profile (2)'!$AC$4:$AC$50,MATCH(Results!$D$3,'Employee Profile (2)'!$B$4:$B$50,0))*$Z9,"")</f>
        <v>337.36997885835098</v>
      </c>
      <c r="Z9" s="147">
        <f>IFERROR(SUMIFS('Employee Profile (2)'!V$4:V$50,'Employee Profile (2)'!$B$4:$B$50,Results!$D$3),"")</f>
        <v>0.77378435517970401</v>
      </c>
      <c r="AA9" s="150" t="s">
        <v>675</v>
      </c>
      <c r="AB9" s="144">
        <f>IFERROR(SUMIFS('Employee Profile (2)'!$AD$4:$AD$50,'Employee Profile (2)'!$B$4:$B$50,Results!$D$3),"")</f>
        <v>138</v>
      </c>
      <c r="AC9" s="147">
        <f>IFERROR(SUMIFS('Employee Profile (2)'!$AE$4:$AE$50,'Employee Profile (2)'!$B$4:$B$50,Results!$D$3),"")</f>
        <v>0.3165137614678899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173.2938689217759</v>
      </c>
      <c r="N10" s="148">
        <f>IFERROR(SUMIFS('Employee Profile (2)'!D$4:D$50,'Employee Profile (2)'!$B$4:$B$50,Results!$D$3),"")</f>
        <v>0.39746300211416491</v>
      </c>
      <c r="O10" s="150" t="s">
        <v>621</v>
      </c>
      <c r="P10" s="143">
        <f>IFERROR(INDEX('Employee Profile (2)'!$AC$4:$AC$50,MATCH(Results!$D$3,'Employee Profile (2)'!$B$4:$B$50,0))*$Q10,"")</f>
        <v>118.90909090909091</v>
      </c>
      <c r="Q10" s="148">
        <f>IFERROR(SUMIFS('Employee Profile (2)'!K$4:K$50,'Employee Profile (2)'!$B$4:$B$50,Results!$D$3),"")</f>
        <v>0.27272727272727271</v>
      </c>
      <c r="R10" s="150" t="s">
        <v>628</v>
      </c>
      <c r="S10" s="144">
        <f>IFERROR(INDEX('Employee Profile (2)'!$AC$4:$AC$50,MATCH(Results!$D$3,'Employee Profile (2)'!$B$4:$B$50,0))*$T10,"")</f>
        <v>54.38477801268499</v>
      </c>
      <c r="T10" s="147">
        <f>IFERROR(SUMIFS('Employee Profile (2)'!O$4:O$50,'Employee Profile (2)'!$B$4:$B$50,Results!$D$3),"")</f>
        <v>0.12473572938689217</v>
      </c>
      <c r="U10" s="150" t="s">
        <v>633</v>
      </c>
      <c r="V10" s="144">
        <f>IFERROR(INDEX('Employee Profile (2)'!$AC$4:$AC$50,MATCH(Results!$D$3,'Employee Profile (2)'!$B$4:$B$50,0))*$W10,"")</f>
        <v>177.90274841437633</v>
      </c>
      <c r="W10" s="147">
        <f>IFERROR(SUMIFS('Employee Profile (2)'!T$4:T$50,'Employee Profile (2)'!$B$4:$B$50,Results!$D$3),"")</f>
        <v>0.40803382663847781</v>
      </c>
      <c r="X10" s="150" t="s">
        <v>636</v>
      </c>
      <c r="Y10" s="144">
        <f>IFERROR(INDEX('Employee Profile (2)'!$AC$4:$AC$50,MATCH(Results!$D$3,'Employee Profile (2)'!$B$4:$B$50,0))*$Z10,"")</f>
        <v>28.575052854122625</v>
      </c>
      <c r="Z10" s="147">
        <f>IFERROR(SUMIFS('Employee Profile (2)'!W$4:W$50,'Employee Profile (2)'!$B$4:$B$50,Results!$D$3),"")</f>
        <v>6.5539112050739964E-2</v>
      </c>
      <c r="AA10" s="150" t="s">
        <v>676</v>
      </c>
      <c r="AB10" s="144">
        <f>IFERROR(INDEX('Employee Profile (2)'!$AC$4:$AC$50,MATCH(Results!$D$3,'Employee Profile (2)'!$B$4:$B$50))-$AB$9,"")</f>
        <v>298</v>
      </c>
      <c r="AC10" s="147">
        <f>IFERROR(100%-$AC$9,"")</f>
        <v>0.6834862385321101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31.340380549682873</v>
      </c>
      <c r="N11" s="148">
        <f>IFERROR(SUMIFS('Employee Profile (2)'!E$4:E$50,'Employee Profile (2)'!$B$4:$B$50,Results!$D$3),"")</f>
        <v>7.1881606765327691E-2</v>
      </c>
      <c r="O11" s="150" t="s">
        <v>622</v>
      </c>
      <c r="P11" s="143">
        <f>IFERROR(INDEX('Employee Profile (2)'!$AC$4:$AC$50,MATCH(Results!$D$3,'Employee Profile (2)'!$B$4:$B$50,0))*$Q11,"")</f>
        <v>37.792811839323463</v>
      </c>
      <c r="Q11" s="148">
        <f>IFERROR(SUMIFS('Employee Profile (2)'!L$4:L$50,'Employee Profile (2)'!$B$4:$B$50,Results!$D$3),"")</f>
        <v>8.6680761099365747E-2</v>
      </c>
      <c r="R11" s="150" t="s">
        <v>629</v>
      </c>
      <c r="S11" s="144">
        <f>IFERROR(INDEX('Employee Profile (2)'!$AC$4:$AC$50,MATCH(Results!$D$3,'Employee Profile (2)'!$B$4:$B$50,0))*$T11,"")</f>
        <v>207.39957716701903</v>
      </c>
      <c r="T11" s="147">
        <f>IFERROR(SUMIFS('Employee Profile (2)'!P$4:P$50,'Employee Profile (2)'!$B$4:$B$50,Results!$D$3),"")</f>
        <v>0.47568710359408034</v>
      </c>
      <c r="U11" s="150" t="s">
        <v>53</v>
      </c>
      <c r="V11" s="144">
        <f>IFERROR(INDEX('Employee Profile (2)'!$AC$4:$AC$50,MATCH(Results!$D$3,'Employee Profile (2)'!$B$4:$B$50,0))*$W11,"")</f>
        <v>29.496828752642706</v>
      </c>
      <c r="W11" s="147">
        <f>IFERROR(SUMIFS('Employee Profile (2)'!U$4:U$50,'Employee Profile (2)'!$B$4:$B$50,Results!$D$3),"")</f>
        <v>6.765327695560254E-2</v>
      </c>
      <c r="X11" s="150" t="s">
        <v>637</v>
      </c>
      <c r="Y11" s="144">
        <f>IFERROR(INDEX('Employee Profile (2)'!$AC$4:$AC$50,MATCH(Results!$D$3,'Employee Profile (2)'!$B$4:$B$50,0))*$Z11,"")</f>
        <v>10.13953488372093</v>
      </c>
      <c r="Z11" s="147">
        <f>IFERROR(SUMIFS('Employee Profile (2)'!X$4:X$50,'Employee Profile (2)'!$B$4:$B$50,Results!$D$3),"")</f>
        <v>2.3255813953488372E-2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25.809725158562365</v>
      </c>
      <c r="N12" s="148">
        <f>IFERROR(SUMIFS('Employee Profile (2)'!F$4:F$50,'Employee Profile (2)'!$B$4:$B$50,Results!$D$3),"")</f>
        <v>5.9196617336152217E-2</v>
      </c>
      <c r="O12" s="150" t="s">
        <v>623</v>
      </c>
      <c r="P12" s="143">
        <f>IFERROR(INDEX('Employee Profile (2)'!$AC$4:$AC$50,MATCH(Results!$D$3,'Employee Profile (2)'!$B$4:$B$50,0))*$Q12,"")</f>
        <v>6.4524312896405913</v>
      </c>
      <c r="Q12" s="148">
        <f>IFERROR(SUMIFS('Employee Profile (2)'!M$4:M$50,'Employee Profile (2)'!$B$4:$B$50,Results!$D$3),"")</f>
        <v>1.4799154334038054E-2</v>
      </c>
      <c r="R12" s="150" t="s">
        <v>630</v>
      </c>
      <c r="S12" s="144">
        <f>IFERROR(INDEX('Employee Profile (2)'!$AC$4:$AC$50,MATCH(Results!$D$3,'Employee Profile (2)'!$B$4:$B$50,0))*$T12,"")</f>
        <v>5.530655391120507</v>
      </c>
      <c r="T12" s="147">
        <f>IFERROR(SUMIFS('Employee Profile (2)'!Q$4:Q$50,'Employee Profile (2)'!$B$4:$B$50,Results!$D$3),"")</f>
        <v>1.2684989429175475E-2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30.418604651162791</v>
      </c>
      <c r="Z12" s="147">
        <f>IFERROR(SUMIFS('Employee Profile (2)'!Y$4:Y$50,'Employee Profile (2)'!$B$4:$B$50,Results!$D$3),"")</f>
        <v>6.9767441860465115E-2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2</v>
      </c>
      <c r="H13" s="158">
        <v>0</v>
      </c>
      <c r="I13" s="158">
        <v>6</v>
      </c>
      <c r="J13" s="158">
        <v>2</v>
      </c>
      <c r="L13" s="150" t="s">
        <v>660</v>
      </c>
      <c r="M13" s="143">
        <f>IFERROR(INDEX('Employee Profile (2)'!$AC$4:$AC$50,MATCH(Results!$D$3,'Employee Profile (2)'!$B$4:$B$50,0))*$N13,"")</f>
        <v>8.2959830866807618</v>
      </c>
      <c r="N13" s="148">
        <f>IFERROR(SUMIFS('Employee Profile (2)'!G$4:G$50,'Employee Profile (2)'!$B$4:$B$50,Results!$D$3),"")</f>
        <v>1.9027484143763214E-2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90.334038054968275</v>
      </c>
      <c r="T13" s="147">
        <f>IFERROR(SUMIFS('Employee Profile (2)'!R$4:R$50,'Employee Profile (2)'!$B$4:$B$50,Results!$D$3),"")</f>
        <v>0.20718816067653276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29.496828752642706</v>
      </c>
      <c r="Z13" s="147">
        <f>IFERROR(SUMIFS('Employee Profile (2)'!Z$4:Z$50,'Employee Profile (2)'!$B$4:$B$50,Results!$D$3),"")</f>
        <v>6.765327695560254E-2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2</v>
      </c>
      <c r="H15" s="112">
        <f t="shared" ref="H15:J15" si="0">SUM(H9:H14)</f>
        <v>0</v>
      </c>
      <c r="I15" s="112">
        <f t="shared" si="0"/>
        <v>6</v>
      </c>
      <c r="J15" s="112">
        <f t="shared" si="0"/>
        <v>2</v>
      </c>
      <c r="L15" s="150" t="s">
        <v>53</v>
      </c>
      <c r="M15" s="143">
        <f>IFERROR(INDEX('Employee Profile (2)'!$AC$4:$AC$50,MATCH(Results!$D$3,'Employee Profile (2)'!$B$4:$B$50,0))*$N15,"")</f>
        <v>29.496828752642706</v>
      </c>
      <c r="N15" s="148">
        <f>IFERROR(SUMIFS('Employee Profile (2)'!I$4:I$50,'Employee Profile (2)'!$B$4:$B$50,Results!$D$3),"")</f>
        <v>6.765327695560254E-2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8</v>
      </c>
      <c r="H16" s="82">
        <f>SUMIFS($W$64:$W$509,$C$64:$C$509,"Total")</f>
        <v>0</v>
      </c>
      <c r="I16" s="82">
        <f>SUMIFS($AE$64:$AE$509,$C$64:$C$509,"Total")</f>
        <v>6</v>
      </c>
      <c r="J16" s="82">
        <f>SUMIFS($AM$64:$AM$509,$C$64:$C$509,"Total")</f>
        <v>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6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137</v>
      </c>
      <c r="G29" s="87">
        <f t="shared" ref="G29:G44" si="4">SUMIFS($K$64:$K$509,$A$64:$A$509,B29,$C$64:$C$509,"Total")</f>
        <v>434.34306569343067</v>
      </c>
      <c r="H29" s="83">
        <f t="shared" ref="H29:H44" si="5">SUMIFS($J$64:$J$509,$A$64:$A$509,B29,$C$64:$C$509,"Total")</f>
        <v>59505</v>
      </c>
      <c r="I29" s="21">
        <f t="shared" ref="I29:I44" si="6">-SUMIFS($O$64:$O$509,$A$64:$A$509,$B29,$C$64:$C$509,"Total")+SUMIFS($N$64:$N$509,$A$64:$A$509,$B29,$C$64:$C$509,"Total")</f>
        <v>-7</v>
      </c>
      <c r="J29" s="88">
        <f t="shared" ref="J29:J44" si="7">SUMIFS($P$64:$P$509,$A$64:$A$509,$B29,$C$64:$C$509,"Total")</f>
        <v>130</v>
      </c>
      <c r="K29" s="88">
        <f t="shared" ref="K29:K44" si="8">SUMIFS($M$64:$M$509,$A$64:$A$509,$B29,$C$64:$C$509,"Total")</f>
        <v>479.10410242232138</v>
      </c>
      <c r="L29" s="88">
        <f t="shared" ref="L29:L44" si="9">SUMIFS($R$64:$R$509,$A$64:$A$509,$B29,$C$64:$C$509,"Total")+SUMIFS($Q$64:$Q$509,$A$64:$A$509,$B29,$C$64:$C$509,"Total")</f>
        <v>-1801.1444556759207</v>
      </c>
      <c r="M29" s="88">
        <f t="shared" ref="M29:M44" si="10">SUMIFS($S$64:$S$509,$A$64:$A$509,$B29,$C$64:$C$509,"Total")</f>
        <v>62283.533314901782</v>
      </c>
      <c r="N29" s="88">
        <f t="shared" ref="N29:N44" si="11">SUMIFS($S$64:$S$509,$A$64:$A$509,$B29,$C$64:$C$509,"Compensation Budget")</f>
        <v>64087</v>
      </c>
      <c r="O29" s="89">
        <f t="shared" ref="O29:O44" si="12">SUMIFS($S$64:$S$509,$A$64:$A$509,$B29,$C$64:$C$509,"Under/(Over)")</f>
        <v>1803.4666850982176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130</v>
      </c>
      <c r="R29" s="88">
        <f t="shared" ref="R29:R44" si="15">SUMIFS($U$64:$U$509,$A$64:$A$509,$B29,$C$64:$C$509,"Total")</f>
        <v>518.74610244842711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67436.993318295528</v>
      </c>
      <c r="U29" s="88">
        <f t="shared" ref="U29:U44" si="18">SUMIFS($AA$64:$AA$509,$A$64:$A$509,$B29,$C$64:$C$509,"Compensation Budget")</f>
        <v>68345</v>
      </c>
      <c r="V29" s="89">
        <f t="shared" ref="V29:V44" si="19">SUMIFS($AA$64:$AA$509,$A$64:$A$509,$B29,$C$64:$C$509,"Under/(Over)")</f>
        <v>908.0066817044717</v>
      </c>
      <c r="W29" s="21">
        <f t="shared" ref="W29:W44" si="20">-SUMIFS($AE$64:$AE$509,$A$64:$A$509,$B29,$C$64:$C$509,"Total")+SUMIFS($AD$64:$AD$509,$A$64:$A$509,$B29,$C$64:$C$509,"Total")</f>
        <v>-4</v>
      </c>
      <c r="X29" s="88">
        <f t="shared" ref="X29:X44" si="21">SUMIFS($AF$64:$AF$509,$A$64:$A$509,$B29,$C$64:$C$509,"Total")</f>
        <v>126</v>
      </c>
      <c r="Y29" s="88">
        <f t="shared" ref="Y29:Y44" si="22">SUMIFS($AC$64:$AC$509,$A$64:$A$509,$B29,$C$64:$C$509,"Total")</f>
        <v>571.50215632902996</v>
      </c>
      <c r="Z29" s="88">
        <f t="shared" ref="Z29:Z44" si="23">SUMIFS($AH$64:$AH$509,$A$64:$A$509,$B29,$C$64:$C$509,"Total")+SUMIFS($AG$64:$AG$509,$A$64:$A$509,$B29,$C$64:$C$509,"Total")</f>
        <v>-940.36706200025651</v>
      </c>
      <c r="AA29" s="88">
        <f t="shared" ref="AA29:AA44" si="24">SUMIFS($AI$64:$AI$509,$A$64:$A$509,$B29,$C$64:$C$509,"Total")</f>
        <v>72009.271697457778</v>
      </c>
      <c r="AB29" s="88">
        <f t="shared" ref="AB29:AB44" si="25">SUMIFS($AI$64:$AI$509,$A$64:$A$509,$B29,$C$64:$C$509,"Compensation Budget")</f>
        <v>73298</v>
      </c>
      <c r="AC29" s="89">
        <f t="shared" ref="AC29:AC44" si="26">SUMIFS($AI$64:$AI$509,$A$64:$A$509,$B29,$C$64:$C$509,"Under/(Over)")</f>
        <v>1288.7283025422221</v>
      </c>
      <c r="AD29" s="21">
        <f t="shared" ref="AD29:AD44" si="27">-SUMIFS($AM$64:$AM$509,$A$64:$A$509,$B29,$C$64:$C$509,"Total")+SUMIFS($AL$64:$AL$509,$A$64:$A$509,$B29,$C$64:$C$509,"Total")</f>
        <v>-1</v>
      </c>
      <c r="AE29" s="88">
        <f t="shared" ref="AE29:AE44" si="28">SUMIFS($AN$64:$AN$509,$A$64:$A$509,$B29,$C$64:$C$509,"Total")</f>
        <v>125</v>
      </c>
      <c r="AF29" s="88">
        <f t="shared" ref="AF29:AF44" si="29">SUMIFS($AK$64:$AK$509,$A$64:$A$509,$B29,$C$64:$C$509,"Total")</f>
        <v>620.21143509031162</v>
      </c>
      <c r="AG29" s="88">
        <f t="shared" ref="AG29:AG44" si="30">SUMIFS($AP$64:$AP$509,$A$64:$A$509,$B29,$C$64:$C$509,"Total")+SUMIFS($AO$64:$AO$509,$A$64:$A$509,$B29,$C$64:$C$509,"Total")</f>
        <v>-222.6850496981281</v>
      </c>
      <c r="AH29" s="88">
        <f t="shared" ref="AH29:AH44" si="31">SUMIFS($AQ$64:$AQ$509,$A$64:$A$509,$B29,$C$64:$C$509,"Total")</f>
        <v>77526.429386288946</v>
      </c>
      <c r="AI29" s="88">
        <f t="shared" ref="AI29:AI44" si="32">SUMIFS($AQ$64:$AQ$509,$A$64:$A$509,$B29,$C$64:$C$509,"Compensation Budget")</f>
        <v>78868.648000000001</v>
      </c>
      <c r="AJ29" s="89">
        <f t="shared" ref="AJ29:AJ44" si="33">SUMIFS($AQ$64:$AQ$509,$A$64:$A$509,$B29,$C$64:$C$509,"Under/(Over)")</f>
        <v>1342.2186137110548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Content Processing and Dissemination</v>
      </c>
      <c r="D30" s="222">
        <f t="shared" si="2"/>
        <v>0</v>
      </c>
      <c r="E30" s="223">
        <f t="shared" si="2"/>
        <v>0</v>
      </c>
      <c r="F30" s="80">
        <f t="shared" si="3"/>
        <v>138</v>
      </c>
      <c r="G30" s="155">
        <f t="shared" si="4"/>
        <v>510.08695652173913</v>
      </c>
      <c r="H30" s="155">
        <f t="shared" si="5"/>
        <v>70392</v>
      </c>
      <c r="I30" s="23">
        <f t="shared" si="6"/>
        <v>0</v>
      </c>
      <c r="J30" s="22">
        <f t="shared" si="7"/>
        <v>138</v>
      </c>
      <c r="K30" s="22">
        <f t="shared" si="8"/>
        <v>538.40458179501547</v>
      </c>
      <c r="L30" s="22">
        <f t="shared" si="9"/>
        <v>0</v>
      </c>
      <c r="M30" s="22">
        <f t="shared" si="10"/>
        <v>74299.832287712139</v>
      </c>
      <c r="N30" s="22">
        <f t="shared" si="11"/>
        <v>74346</v>
      </c>
      <c r="O30" s="91">
        <f t="shared" si="12"/>
        <v>46.167712287860923</v>
      </c>
      <c r="P30" s="23">
        <f t="shared" si="13"/>
        <v>0</v>
      </c>
      <c r="Q30" s="22">
        <f t="shared" si="14"/>
        <v>138</v>
      </c>
      <c r="R30" s="22">
        <f t="shared" si="15"/>
        <v>583.35655373203417</v>
      </c>
      <c r="S30" s="22">
        <f t="shared" si="16"/>
        <v>0</v>
      </c>
      <c r="T30" s="22">
        <f t="shared" si="17"/>
        <v>80503.204415020722</v>
      </c>
      <c r="U30" s="22">
        <f t="shared" si="18"/>
        <v>79287</v>
      </c>
      <c r="V30" s="91">
        <f t="shared" si="19"/>
        <v>-1216.2044150207221</v>
      </c>
      <c r="W30" s="23">
        <f t="shared" si="20"/>
        <v>0</v>
      </c>
      <c r="X30" s="22">
        <f t="shared" si="21"/>
        <v>138</v>
      </c>
      <c r="Y30" s="22">
        <f t="shared" si="22"/>
        <v>631.47863351251488</v>
      </c>
      <c r="Z30" s="22">
        <f t="shared" si="23"/>
        <v>0</v>
      </c>
      <c r="AA30" s="22">
        <f t="shared" si="24"/>
        <v>87144.051424727048</v>
      </c>
      <c r="AB30" s="22">
        <f t="shared" si="25"/>
        <v>85031</v>
      </c>
      <c r="AC30" s="91">
        <f t="shared" si="26"/>
        <v>-2113.0514247270476</v>
      </c>
      <c r="AD30" s="23">
        <f t="shared" si="27"/>
        <v>-1</v>
      </c>
      <c r="AE30" s="22">
        <f t="shared" si="28"/>
        <v>137</v>
      </c>
      <c r="AF30" s="22">
        <f t="shared" si="29"/>
        <v>683.05180427257426</v>
      </c>
      <c r="AG30" s="22">
        <f t="shared" si="30"/>
        <v>-579.12738020362133</v>
      </c>
      <c r="AH30" s="22">
        <f t="shared" si="31"/>
        <v>93578.097185342674</v>
      </c>
      <c r="AI30" s="22">
        <f t="shared" si="32"/>
        <v>91493.356</v>
      </c>
      <c r="AJ30" s="91">
        <f t="shared" si="33"/>
        <v>-2084.7411853426747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Intergovernmental Coordination and Stakeholder Management</v>
      </c>
      <c r="D31" s="222">
        <f t="shared" si="2"/>
        <v>0</v>
      </c>
      <c r="E31" s="223">
        <f t="shared" si="2"/>
        <v>0</v>
      </c>
      <c r="F31" s="80">
        <f t="shared" si="3"/>
        <v>159</v>
      </c>
      <c r="G31" s="155">
        <f t="shared" si="4"/>
        <v>456.37735849056605</v>
      </c>
      <c r="H31" s="155">
        <f t="shared" si="5"/>
        <v>72564</v>
      </c>
      <c r="I31" s="23">
        <f t="shared" si="6"/>
        <v>-1</v>
      </c>
      <c r="J31" s="22">
        <f t="shared" si="7"/>
        <v>158</v>
      </c>
      <c r="K31" s="22">
        <f t="shared" si="8"/>
        <v>494.49363597573358</v>
      </c>
      <c r="L31" s="22">
        <f t="shared" si="9"/>
        <v>-156.49815224672705</v>
      </c>
      <c r="M31" s="22">
        <f t="shared" si="10"/>
        <v>78129.994484165902</v>
      </c>
      <c r="N31" s="22">
        <f t="shared" si="11"/>
        <v>84368</v>
      </c>
      <c r="O31" s="91">
        <f t="shared" si="12"/>
        <v>6238.0055158340983</v>
      </c>
      <c r="P31" s="23">
        <f t="shared" si="13"/>
        <v>0</v>
      </c>
      <c r="Q31" s="22">
        <f t="shared" si="14"/>
        <v>158</v>
      </c>
      <c r="R31" s="22">
        <f t="shared" si="15"/>
        <v>535.422113900412</v>
      </c>
      <c r="S31" s="22">
        <f t="shared" si="16"/>
        <v>0</v>
      </c>
      <c r="T31" s="22">
        <f t="shared" si="17"/>
        <v>84596.693996265094</v>
      </c>
      <c r="U31" s="22">
        <f t="shared" si="18"/>
        <v>89972</v>
      </c>
      <c r="V31" s="91">
        <f t="shared" si="19"/>
        <v>5375.306003734906</v>
      </c>
      <c r="W31" s="23">
        <f t="shared" si="20"/>
        <v>-2</v>
      </c>
      <c r="X31" s="22">
        <f t="shared" si="21"/>
        <v>156</v>
      </c>
      <c r="Y31" s="22">
        <f t="shared" si="22"/>
        <v>583.49499938999247</v>
      </c>
      <c r="Z31" s="22">
        <f t="shared" si="23"/>
        <v>-489.05367593389212</v>
      </c>
      <c r="AA31" s="22">
        <f t="shared" si="24"/>
        <v>91025.219904838828</v>
      </c>
      <c r="AB31" s="22">
        <f t="shared" si="25"/>
        <v>96492</v>
      </c>
      <c r="AC31" s="91">
        <f t="shared" si="26"/>
        <v>5466.7800951611716</v>
      </c>
      <c r="AD31" s="23">
        <f t="shared" si="27"/>
        <v>0</v>
      </c>
      <c r="AE31" s="22">
        <f t="shared" si="28"/>
        <v>156</v>
      </c>
      <c r="AF31" s="22">
        <f t="shared" si="29"/>
        <v>630.02969542094638</v>
      </c>
      <c r="AG31" s="22">
        <f t="shared" si="30"/>
        <v>0</v>
      </c>
      <c r="AH31" s="22">
        <f t="shared" si="31"/>
        <v>98284.632485667637</v>
      </c>
      <c r="AI31" s="22">
        <f t="shared" si="32"/>
        <v>103825.39200000001</v>
      </c>
      <c r="AJ31" s="91">
        <f t="shared" si="33"/>
        <v>5540.7595143323706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434</v>
      </c>
      <c r="G45" s="92">
        <f>IFERROR(H45/F45,0)</f>
        <v>466.5</v>
      </c>
      <c r="H45" s="92">
        <f>SUM(H29:H38)</f>
        <v>202461</v>
      </c>
      <c r="I45" s="25">
        <f>SUM(I29:I38)</f>
        <v>-8</v>
      </c>
      <c r="J45" s="92">
        <f>SUM(J29:J38)</f>
        <v>426</v>
      </c>
      <c r="K45" s="92">
        <f>IFERROR(M45/J45,0)</f>
        <v>504.02197203469439</v>
      </c>
      <c r="L45" s="92">
        <f t="shared" ref="L45:Q45" si="34">SUM(L29:L38)</f>
        <v>-1957.6426079226476</v>
      </c>
      <c r="M45" s="92">
        <f t="shared" si="34"/>
        <v>214713.36008677981</v>
      </c>
      <c r="N45" s="92">
        <f>INDEX('ENE17'!$C$2:$C$48,MATCH(Results!$D$3,'ENE17'!$A$2:$A$48,0))</f>
        <v>222119</v>
      </c>
      <c r="O45" s="129">
        <f>N45-M45</f>
        <v>7405.6399132201914</v>
      </c>
      <c r="P45" s="25">
        <f t="shared" si="34"/>
        <v>0</v>
      </c>
      <c r="Q45" s="24">
        <f t="shared" si="34"/>
        <v>426</v>
      </c>
      <c r="R45" s="92">
        <f>IFERROR(T45/Q45,0)</f>
        <v>545.86124819150552</v>
      </c>
      <c r="S45" s="24">
        <f>SUM(S29:S38)</f>
        <v>0</v>
      </c>
      <c r="T45" s="24">
        <f>SUM(T29:T38)</f>
        <v>232536.89172958134</v>
      </c>
      <c r="U45" s="207">
        <f>INDEX('ENE17'!$D$2:$D$48,MATCH(Results!$D$3,'ENE17'!$A$2:$A$48,0))</f>
        <v>236825</v>
      </c>
      <c r="V45" s="24">
        <f>U45-T45</f>
        <v>4288.1082704186556</v>
      </c>
      <c r="W45" s="25">
        <f t="shared" ref="W45:X45" si="35">SUM(W29:W38)</f>
        <v>-6</v>
      </c>
      <c r="X45" s="24">
        <f t="shared" si="35"/>
        <v>420</v>
      </c>
      <c r="Y45" s="92">
        <f>IFERROR(AA45/X45,0)</f>
        <v>595.66319768338974</v>
      </c>
      <c r="Z45" s="24">
        <f t="shared" ref="Z45:AA45" si="36">SUM(Z29:Z38)</f>
        <v>-1429.4207379341487</v>
      </c>
      <c r="AA45" s="24">
        <f t="shared" si="36"/>
        <v>250178.54302702367</v>
      </c>
      <c r="AB45" s="207">
        <f>INDEX('ENE17'!$E$2:$E$48,MATCH(Results!$D$3,'ENE17'!$A$2:$A$48,0))</f>
        <v>253983</v>
      </c>
      <c r="AC45" s="24">
        <f>AB45-AA45</f>
        <v>3804.4569729763316</v>
      </c>
      <c r="AD45" s="25">
        <f t="shared" ref="AD45:AE45" si="37">SUM(AD29:AD38)</f>
        <v>-2</v>
      </c>
      <c r="AE45" s="24">
        <f t="shared" si="37"/>
        <v>418</v>
      </c>
      <c r="AF45" s="92">
        <f>IFERROR(AH45/AE45,0)</f>
        <v>644.47167238588338</v>
      </c>
      <c r="AG45" s="24">
        <f t="shared" ref="AG45:AH45" si="38">SUM(AG29:AG38)</f>
        <v>-801.8124299017494</v>
      </c>
      <c r="AH45" s="24">
        <f t="shared" si="38"/>
        <v>269389.15905729926</v>
      </c>
      <c r="AI45" s="207">
        <f>INDEX('ENE17'!$F$2:$F$48,MATCH(Results!$D$3,'ENE17'!$A$2:$A$48,0))</f>
        <v>273302</v>
      </c>
      <c r="AJ45" s="24">
        <f>AI45-AH45</f>
        <v>3912.8409427007427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114</v>
      </c>
      <c r="G51" s="193">
        <f>IFERROR(H51/F51,"")</f>
        <v>210.7017543859649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24020</v>
      </c>
      <c r="I51" s="97">
        <f>SUMIFS($N$64:$N$509,$B$64:$B$509,$B51)-SUMIFS($O$64:$O$509,$B$64:$B$509,$B51)</f>
        <v>-7</v>
      </c>
      <c r="J51" s="80">
        <f>SUMIFS($P$64:$P$509,$B$64:$B$509,$B51)</f>
        <v>107</v>
      </c>
      <c r="K51" s="80">
        <f>IFERROR(M51/J51,0)</f>
        <v>213.58467321679294</v>
      </c>
      <c r="L51" s="80">
        <f>SUMIFS($R$64:$R$509,$B$64:$B$509,$B51)+SUMIFS($Q$64:$Q$509,$B$64:$B$509,$B51)</f>
        <v>-1280.8248606480015</v>
      </c>
      <c r="M51" s="98">
        <f>SUMIFS($S$64:$S$509,$B$64:$B$509,$B51)</f>
        <v>22853.560034196846</v>
      </c>
      <c r="N51" s="80">
        <f>SUMIFS($V$64:$V$509,$B$64:$B$509,$B51)-SUMIFS($W$64:$W$509,$B$64:$B$509,$B51)</f>
        <v>0</v>
      </c>
      <c r="O51" s="80">
        <f>SUMIFS($X$64:$X$509,$B$64:$B$509,$B51)</f>
        <v>107</v>
      </c>
      <c r="P51" s="80">
        <f>IFERROR(R51/O51,0)</f>
        <v>231.66216158672947</v>
      </c>
      <c r="Q51" s="80">
        <f>SUMIFS($Z$64:$Z$509,$B$64:$B$509,$B51)+SUMIFS($Y$64:$Y$509,$B$64:$B$509,$B51)</f>
        <v>0</v>
      </c>
      <c r="R51" s="80">
        <f>SUMIFS($AA$64:$AA$509,$B$64:$B$509,$B51)</f>
        <v>24787.851289780054</v>
      </c>
      <c r="S51" s="97">
        <f>SUMIFS($AD$64:$AD$509,$B$64:$B$509,$B51)-SUMIFS($AE$64:$AE$509,$B$64:$B$509,$B51)</f>
        <v>-6</v>
      </c>
      <c r="T51" s="80">
        <f>SUMIFS($AF$64:$AF$509,$B$64:$B$509,$B51)</f>
        <v>101</v>
      </c>
      <c r="U51" s="80">
        <f>IFERROR(W51/T51,0)</f>
        <v>251.79526418389929</v>
      </c>
      <c r="V51" s="80">
        <f>SUMIFS($AH$64:$AH$509,$B$64:$B$509,$B51)+SUMIFS($AG$64:$AG$509,$B$64:$B$509,$B51)</f>
        <v>-1429.4207379341487</v>
      </c>
      <c r="W51" s="98">
        <f>SUMIFS($AI$64:$AI$509,$B$64:$B$509,$B51)</f>
        <v>25431.321682573827</v>
      </c>
      <c r="X51" s="80">
        <f>SUMIFS($AL$64:$AL$509,$B$64:$B$509,$B51)-SUMIFS($AM$64:$AM$509,$B$64:$B$509,$B51)</f>
        <v>-1</v>
      </c>
      <c r="Y51" s="80">
        <f>SUMIFS($AN$64:$AN$509,$B$64:$B$509,$B51)</f>
        <v>100</v>
      </c>
      <c r="Z51" s="80">
        <f>IFERROR(AB51/Y51,0)</f>
        <v>272.83957512395182</v>
      </c>
      <c r="AA51" s="80">
        <f>SUMIFS($AP$64:$AP$509,$B$64:$B$509,$B51)+SUMIFS($AO$64:$AO$509,$B$64:$B$509,$B51)</f>
        <v>-222.6850496981281</v>
      </c>
      <c r="AB51" s="98">
        <f>SUMIFS($AQ$64:$AQ$509,$B$64:$B$509,$B51)</f>
        <v>27283.95751239518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196</v>
      </c>
      <c r="G52" s="192">
        <f t="shared" ref="G52:G55" si="40">IFERROR(H52/F52,"")</f>
        <v>398.11734693877548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78031</v>
      </c>
      <c r="I52" s="97">
        <f>SUMIFS($N$64:$N$509,$B$64:$B$509,$B52)-SUMIFS($O$64:$O$509,$B$64:$B$509,$B52)</f>
        <v>0</v>
      </c>
      <c r="J52" s="80">
        <f>SUMIFS($P$64:$P$509,$B$64:$B$509,$B52)</f>
        <v>196</v>
      </c>
      <c r="K52" s="80">
        <f t="shared" ref="K52:K56" si="41">IFERROR(M52/J52,0)</f>
        <v>433.69298033731013</v>
      </c>
      <c r="L52" s="80">
        <f>SUMIFS($R$64:$R$509,$B$64:$B$509,$B52)+SUMIFS($Q$64:$Q$509,$B$64:$B$509,$B52)</f>
        <v>0</v>
      </c>
      <c r="M52" s="98">
        <f>SUMIFS($S$64:$S$509,$B$64:$B$509,$B52)</f>
        <v>85003.824146112791</v>
      </c>
      <c r="N52" s="80">
        <f>SUMIFS($V$64:$V$509,$B$64:$B$509,$B52)-SUMIFS($W$64:$W$509,$B$64:$B$509,$B52)</f>
        <v>0</v>
      </c>
      <c r="O52" s="80">
        <f>SUMIFS($X$64:$X$509,$B$64:$B$509,$B52)</f>
        <v>196</v>
      </c>
      <c r="P52" s="80">
        <f t="shared" ref="P52:P55" si="42">IFERROR(R52/O52,0)</f>
        <v>470.66789389439464</v>
      </c>
      <c r="Q52" s="80">
        <f>SUMIFS($Z$64:$Z$509,$B$64:$B$509,$B52)+SUMIFS($Y$64:$Y$509,$B$64:$B$509,$B52)</f>
        <v>0</v>
      </c>
      <c r="R52" s="80">
        <f>SUMIFS($AA$64:$AA$509,$B$64:$B$509,$B52)</f>
        <v>92250.907203301351</v>
      </c>
      <c r="S52" s="97">
        <f>SUMIFS($AD$64:$AD$509,$B$64:$B$509,$B52)-SUMIFS($AE$64:$AE$509,$B$64:$B$509,$B52)</f>
        <v>0</v>
      </c>
      <c r="T52" s="80">
        <f>SUMIFS($AF$64:$AF$509,$B$64:$B$509,$B52)</f>
        <v>196</v>
      </c>
      <c r="U52" s="80">
        <f t="shared" ref="U52:U55" si="43">IFERROR(W52/T52,0)</f>
        <v>510.31788667940606</v>
      </c>
      <c r="V52" s="80">
        <f>SUMIFS($AH$64:$AH$509,$B$64:$B$509,$B52)+SUMIFS($AG$64:$AG$509,$B$64:$B$509,$B52)</f>
        <v>0</v>
      </c>
      <c r="W52" s="98">
        <f>SUMIFS($AI$64:$AI$509,$B$64:$B$509,$B52)</f>
        <v>100022.30578916358</v>
      </c>
      <c r="X52" s="80">
        <f>SUMIFS($AL$64:$AL$509,$B$64:$B$509,$B52)-SUMIFS($AM$64:$AM$509,$B$64:$B$509,$B52)</f>
        <v>-1</v>
      </c>
      <c r="Y52" s="80">
        <f>SUMIFS($AN$64:$AN$509,$B$64:$B$509,$B52)</f>
        <v>195</v>
      </c>
      <c r="Z52" s="80">
        <f t="shared" ref="Z52:Z55" si="44">IFERROR(AB52/Y52,0)</f>
        <v>552.1354318973431</v>
      </c>
      <c r="AA52" s="80">
        <f>SUMIFS($AP$64:$AP$509,$B$64:$B$509,$B52)+SUMIFS($AO$64:$AO$509,$B$64:$B$509,$B52)</f>
        <v>-579.12738020362133</v>
      </c>
      <c r="AB52" s="98">
        <f>SUMIFS($AQ$64:$AQ$509,$B$64:$B$509,$B52)</f>
        <v>107666.40921998191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79</v>
      </c>
      <c r="G53" s="192">
        <f t="shared" si="40"/>
        <v>665.40506329113919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52567</v>
      </c>
      <c r="I53" s="97">
        <f>SUMIFS($N$64:$N$509,$B$64:$B$509,$B53)-SUMIFS($O$64:$O$509,$B$64:$B$509,$B53)</f>
        <v>-1</v>
      </c>
      <c r="J53" s="80">
        <f>SUMIFS($P$64:$P$509,$B$64:$B$509,$B53)</f>
        <v>78</v>
      </c>
      <c r="K53" s="80">
        <f t="shared" si="41"/>
        <v>727.1438257292009</v>
      </c>
      <c r="L53" s="80">
        <f>SUMIFS($R$64:$R$509,$B$64:$B$509,$B53)+SUMIFS($Q$64:$Q$509,$B$64:$B$509,$B53)</f>
        <v>-676.81774727464631</v>
      </c>
      <c r="M53" s="98">
        <f>SUMIFS($S$64:$S$509,$B$64:$B$509,$B53)</f>
        <v>56717.21840687767</v>
      </c>
      <c r="N53" s="80">
        <f>SUMIFS($V$64:$V$509,$B$64:$B$509,$B53)-SUMIFS($W$64:$W$509,$B$64:$B$509,$B53)</f>
        <v>0</v>
      </c>
      <c r="O53" s="80">
        <f>SUMIFS($X$64:$X$509,$B$64:$B$509,$B53)</f>
        <v>78</v>
      </c>
      <c r="P53" s="80">
        <f t="shared" si="42"/>
        <v>789.48804102624763</v>
      </c>
      <c r="Q53" s="80">
        <f>SUMIFS($Z$64:$Z$509,$B$64:$B$509,$B53)+SUMIFS($Y$64:$Y$509,$B$64:$B$509,$B53)</f>
        <v>0</v>
      </c>
      <c r="R53" s="80">
        <f>SUMIFS($AA$64:$AA$509,$B$64:$B$509,$B53)</f>
        <v>61580.067200047313</v>
      </c>
      <c r="S53" s="97">
        <f>SUMIFS($AD$64:$AD$509,$B$64:$B$509,$B53)-SUMIFS($AE$64:$AE$509,$B$64:$B$509,$B53)</f>
        <v>0</v>
      </c>
      <c r="T53" s="80">
        <f>SUMIFS($AF$64:$AF$509,$B$64:$B$509,$B53)</f>
        <v>78</v>
      </c>
      <c r="U53" s="80">
        <f t="shared" si="43"/>
        <v>856.37646213618746</v>
      </c>
      <c r="V53" s="80">
        <f>SUMIFS($AH$64:$AH$509,$B$64:$B$509,$B53)+SUMIFS($AG$64:$AG$509,$B$64:$B$509,$B53)</f>
        <v>0</v>
      </c>
      <c r="W53" s="98">
        <f>SUMIFS($AI$64:$AI$509,$B$64:$B$509,$B53)</f>
        <v>66797.364046622621</v>
      </c>
      <c r="X53" s="80">
        <f>SUMIFS($AL$64:$AL$509,$B$64:$B$509,$B53)-SUMIFS($AM$64:$AM$509,$B$64:$B$509,$B53)</f>
        <v>0</v>
      </c>
      <c r="Y53" s="80">
        <f>SUMIFS($AN$64:$AN$509,$B$64:$B$509,$B53)</f>
        <v>78</v>
      </c>
      <c r="Z53" s="80">
        <f t="shared" si="44"/>
        <v>927.19398628139982</v>
      </c>
      <c r="AA53" s="80">
        <f>SUMIFS($AP$64:$AP$509,$B$64:$B$509,$B53)+SUMIFS($AO$64:$AO$509,$B$64:$B$509,$B53)</f>
        <v>0</v>
      </c>
      <c r="AB53" s="98">
        <f>SUMIFS($AQ$64:$AQ$509,$B$64:$B$509,$B53)</f>
        <v>72321.130929949184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45</v>
      </c>
      <c r="G54" s="192">
        <f t="shared" si="40"/>
        <v>1063.1777777777777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47843</v>
      </c>
      <c r="I54" s="97">
        <f>SUMIFS($N$64:$N$509,$B$64:$B$509,$B54)-SUMIFS($O$64:$O$509,$B$64:$B$509,$B54)</f>
        <v>0</v>
      </c>
      <c r="J54" s="80">
        <f>SUMIFS($P$64:$P$509,$B$64:$B$509,$B54)</f>
        <v>45</v>
      </c>
      <c r="K54" s="80">
        <f t="shared" si="41"/>
        <v>1114.1946111020563</v>
      </c>
      <c r="L54" s="80">
        <f>SUMIFS($R$64:$R$509,$B$64:$B$509,$B54)+SUMIFS($Q$64:$Q$509,$B$64:$B$509,$B54)</f>
        <v>0</v>
      </c>
      <c r="M54" s="98">
        <f>SUMIFS($S$64:$S$509,$B$64:$B$509,$B54)</f>
        <v>50138.757499592532</v>
      </c>
      <c r="N54" s="80">
        <f>SUMIFS($V$64:$V$509,$B$64:$B$509,$B54)-SUMIFS($W$64:$W$509,$B$64:$B$509,$B54)</f>
        <v>0</v>
      </c>
      <c r="O54" s="80">
        <f>SUMIFS($X$64:$X$509,$B$64:$B$509,$B54)</f>
        <v>45</v>
      </c>
      <c r="P54" s="80">
        <f t="shared" si="42"/>
        <v>1198.1792452545023</v>
      </c>
      <c r="Q54" s="80">
        <f>SUMIFS($Z$64:$Z$509,$B$64:$B$509,$B54)+SUMIFS($Y$64:$Y$509,$B$64:$B$509,$B54)</f>
        <v>0</v>
      </c>
      <c r="R54" s="80">
        <f>SUMIFS($AA$64:$AA$509,$B$64:$B$509,$B54)</f>
        <v>53918.066036452605</v>
      </c>
      <c r="S54" s="97">
        <f>SUMIFS($AD$64:$AD$509,$B$64:$B$509,$B54)-SUMIFS($AE$64:$AE$509,$B$64:$B$509,$B54)</f>
        <v>0</v>
      </c>
      <c r="T54" s="80">
        <f>SUMIFS($AF$64:$AF$509,$B$64:$B$509,$B54)</f>
        <v>45</v>
      </c>
      <c r="U54" s="80">
        <f t="shared" si="43"/>
        <v>1287.2789224147468</v>
      </c>
      <c r="V54" s="80">
        <f>SUMIFS($AH$64:$AH$509,$B$64:$B$509,$B54)+SUMIFS($AG$64:$AG$509,$B$64:$B$509,$B54)</f>
        <v>0</v>
      </c>
      <c r="W54" s="98">
        <f>SUMIFS($AI$64:$AI$509,$B$64:$B$509,$B54)</f>
        <v>57927.551508663608</v>
      </c>
      <c r="X54" s="80">
        <f>SUMIFS($AL$64:$AL$509,$B$64:$B$509,$B54)-SUMIFS($AM$64:$AM$509,$B$64:$B$509,$B54)</f>
        <v>0</v>
      </c>
      <c r="Y54" s="80">
        <f>SUMIFS($AN$64:$AN$509,$B$64:$B$509,$B54)</f>
        <v>45</v>
      </c>
      <c r="Z54" s="80">
        <f t="shared" si="44"/>
        <v>1380.3924754438435</v>
      </c>
      <c r="AA54" s="80">
        <f>SUMIFS($AP$64:$AP$509,$B$64:$B$509,$B54)+SUMIFS($AO$64:$AO$509,$B$64:$B$509,$B54)</f>
        <v>0</v>
      </c>
      <c r="AB54" s="98">
        <f>SUMIFS($AQ$64:$AQ$509,$B$64:$B$509,$B54)</f>
        <v>62117.661394972958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434</v>
      </c>
      <c r="G56" s="92">
        <f t="shared" ref="G56" si="45">IFERROR(H56/F56,0)</f>
        <v>466.5</v>
      </c>
      <c r="H56" s="92">
        <f>SUM(H51:H55)</f>
        <v>202461</v>
      </c>
      <c r="I56" s="92">
        <f>SUM(I51:I55)</f>
        <v>-8</v>
      </c>
      <c r="J56" s="92">
        <f>SUM(J51:J55)</f>
        <v>426</v>
      </c>
      <c r="K56" s="92">
        <f t="shared" si="41"/>
        <v>504.02197203469444</v>
      </c>
      <c r="L56" s="92">
        <f>SUM(L51:L55)</f>
        <v>-1957.6426079226478</v>
      </c>
      <c r="M56" s="92">
        <f>SUM(M51:M55)</f>
        <v>214713.36008677984</v>
      </c>
      <c r="N56" s="92">
        <f t="shared" ref="N56:O56" si="46">SUM(N51:N55)</f>
        <v>0</v>
      </c>
      <c r="O56" s="92">
        <f t="shared" si="46"/>
        <v>426</v>
      </c>
      <c r="P56" s="92">
        <f>IFERROR(R56/O56,0)</f>
        <v>545.86124819150541</v>
      </c>
      <c r="Q56" s="92">
        <f t="shared" ref="Q56" si="47">SUM(Q51:Q55)</f>
        <v>0</v>
      </c>
      <c r="R56" s="92">
        <f t="shared" ref="R56:T56" si="48">SUM(R51:R55)</f>
        <v>232536.89172958132</v>
      </c>
      <c r="S56" s="92">
        <f t="shared" si="48"/>
        <v>-6</v>
      </c>
      <c r="T56" s="92">
        <f t="shared" si="48"/>
        <v>420</v>
      </c>
      <c r="U56" s="92">
        <f>IFERROR(W56/T56,0)</f>
        <v>595.66319768338963</v>
      </c>
      <c r="V56" s="92">
        <f t="shared" ref="V56" si="49">SUM(V51:V55)</f>
        <v>-1429.4207379341487</v>
      </c>
      <c r="W56" s="92">
        <f t="shared" ref="W56:Y56" si="50">SUM(W51:W55)</f>
        <v>250178.54302702364</v>
      </c>
      <c r="X56" s="92">
        <f t="shared" si="50"/>
        <v>-2</v>
      </c>
      <c r="Y56" s="92">
        <f t="shared" si="50"/>
        <v>418</v>
      </c>
      <c r="Z56" s="92">
        <f>IFERROR(AB56/Y56,0)</f>
        <v>644.47167238588327</v>
      </c>
      <c r="AA56" s="92">
        <f t="shared" ref="AA56" si="51">SUM(AA51:AA55)</f>
        <v>-801.8124299017494</v>
      </c>
      <c r="AB56" s="104">
        <f t="shared" ref="AB56" si="52">SUM(AB51:AB55)</f>
        <v>269389.1590572992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822.21581000000003</v>
      </c>
      <c r="H64" s="35">
        <f>IFERROR(G64/F64,0)</f>
        <v>0</v>
      </c>
      <c r="I64" s="156">
        <v>0</v>
      </c>
      <c r="J64" s="211">
        <v>111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1.07298</v>
      </c>
      <c r="H65" s="35">
        <f t="shared" ref="H65:H80" si="60">IFERROR(G65/F65,0)</f>
        <v>0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17</v>
      </c>
      <c r="G66" s="35">
        <f>SUMIFS(WORKING!$AC$3:$AC$6802,WORKING!$A$3:$A$6802,Results!$D$3,WORKING!$B$3:$B$6802,Results!A66,WORKING!$C$3:$C$6802,Results!C66)/1000</f>
        <v>2684.6078899999998</v>
      </c>
      <c r="H66" s="35">
        <f t="shared" si="60"/>
        <v>157.91811117647057</v>
      </c>
      <c r="I66" s="187">
        <v>17</v>
      </c>
      <c r="J66" s="212">
        <v>2750</v>
      </c>
      <c r="K66" s="217">
        <f t="shared" si="61"/>
        <v>161.76470588235293</v>
      </c>
      <c r="L66" s="34">
        <f t="shared" si="54"/>
        <v>17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175.49429847249564</v>
      </c>
      <c r="N66" s="57">
        <v>0</v>
      </c>
      <c r="O66" s="57">
        <v>2</v>
      </c>
      <c r="P66" s="61">
        <f t="shared" si="55"/>
        <v>15</v>
      </c>
      <c r="Q66" s="40">
        <f t="shared" si="62"/>
        <v>0</v>
      </c>
      <c r="R66" s="40">
        <f t="shared" si="63"/>
        <v>-350.98859694499129</v>
      </c>
      <c r="S66" s="44">
        <f t="shared" si="64"/>
        <v>2632.4144770874345</v>
      </c>
      <c r="T66" s="35">
        <f t="shared" si="65"/>
        <v>15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190.23063799215177</v>
      </c>
      <c r="V66" s="57">
        <v>0</v>
      </c>
      <c r="W66" s="57">
        <v>0</v>
      </c>
      <c r="X66" s="61">
        <f t="shared" si="56"/>
        <v>15</v>
      </c>
      <c r="Y66" s="40">
        <f t="shared" si="66"/>
        <v>0</v>
      </c>
      <c r="Z66" s="40">
        <f t="shared" si="67"/>
        <v>0</v>
      </c>
      <c r="AA66" s="44">
        <f t="shared" si="68"/>
        <v>2853.4595698822764</v>
      </c>
      <c r="AB66" s="35">
        <f t="shared" si="69"/>
        <v>15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206.011813347985</v>
      </c>
      <c r="AD66" s="57">
        <v>0</v>
      </c>
      <c r="AE66" s="57">
        <v>1</v>
      </c>
      <c r="AF66" s="61">
        <f t="shared" si="57"/>
        <v>14</v>
      </c>
      <c r="AG66" s="40">
        <f t="shared" si="70"/>
        <v>0</v>
      </c>
      <c r="AH66" s="40">
        <f t="shared" si="71"/>
        <v>-206.011813347985</v>
      </c>
      <c r="AI66" s="44">
        <f t="shared" si="72"/>
        <v>2884.1653868717899</v>
      </c>
      <c r="AJ66" s="35">
        <f t="shared" si="58"/>
        <v>14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222.6850496981281</v>
      </c>
      <c r="AL66" s="57">
        <v>0</v>
      </c>
      <c r="AM66" s="57">
        <v>1</v>
      </c>
      <c r="AN66" s="61">
        <f t="shared" si="59"/>
        <v>13</v>
      </c>
      <c r="AO66" s="40">
        <f t="shared" si="73"/>
        <v>0</v>
      </c>
      <c r="AP66" s="40">
        <f t="shared" si="74"/>
        <v>-222.6850496981281</v>
      </c>
      <c r="AQ66" s="44">
        <f t="shared" si="75"/>
        <v>2894.9056460756651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>
        <v>0</v>
      </c>
      <c r="J67" s="212">
        <v>0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</v>
      </c>
      <c r="G68" s="35">
        <f>SUMIFS(WORKING!$AC$3:$AC$6802,WORKING!$A$3:$A$6802,Results!$D$3,WORKING!$B$3:$B$6802,Results!A68,WORKING!$C$3:$C$6802,Results!C68)/1000</f>
        <v>256.16148999999996</v>
      </c>
      <c r="H68" s="35">
        <f t="shared" si="60"/>
        <v>256.16148999999996</v>
      </c>
      <c r="I68" s="187">
        <v>1</v>
      </c>
      <c r="J68" s="212">
        <v>219</v>
      </c>
      <c r="K68" s="217">
        <f t="shared" si="61"/>
        <v>219</v>
      </c>
      <c r="L68" s="34">
        <f t="shared" si="54"/>
        <v>1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237.9288197477056</v>
      </c>
      <c r="N68" s="57">
        <v>0</v>
      </c>
      <c r="O68" s="57">
        <v>0</v>
      </c>
      <c r="P68" s="61">
        <f t="shared" si="55"/>
        <v>1</v>
      </c>
      <c r="Q68" s="40">
        <f t="shared" si="62"/>
        <v>0</v>
      </c>
      <c r="R68" s="40">
        <f t="shared" si="63"/>
        <v>0</v>
      </c>
      <c r="S68" s="44">
        <f t="shared" si="64"/>
        <v>237.9288197477056</v>
      </c>
      <c r="T68" s="35">
        <f t="shared" si="65"/>
        <v>1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258.01485134603712</v>
      </c>
      <c r="V68" s="57">
        <v>0</v>
      </c>
      <c r="W68" s="57">
        <v>0</v>
      </c>
      <c r="X68" s="61">
        <f t="shared" si="56"/>
        <v>1</v>
      </c>
      <c r="Y68" s="40">
        <f t="shared" si="66"/>
        <v>0</v>
      </c>
      <c r="Z68" s="40">
        <f t="shared" si="67"/>
        <v>0</v>
      </c>
      <c r="AA68" s="44">
        <f t="shared" si="68"/>
        <v>258.01485134603712</v>
      </c>
      <c r="AB68" s="35">
        <f t="shared" si="69"/>
        <v>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279.5351754820029</v>
      </c>
      <c r="AD68" s="57">
        <v>0</v>
      </c>
      <c r="AE68" s="57">
        <v>1</v>
      </c>
      <c r="AF68" s="61">
        <f t="shared" si="57"/>
        <v>0</v>
      </c>
      <c r="AG68" s="40">
        <f t="shared" si="70"/>
        <v>0</v>
      </c>
      <c r="AH68" s="40">
        <f t="shared" si="71"/>
        <v>-279.5351754820029</v>
      </c>
      <c r="AI68" s="44">
        <f t="shared" si="72"/>
        <v>0</v>
      </c>
      <c r="AJ68" s="35">
        <f t="shared" si="58"/>
        <v>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302.28409629055687</v>
      </c>
      <c r="AL68" s="57">
        <v>0</v>
      </c>
      <c r="AM68" s="57">
        <v>0</v>
      </c>
      <c r="AN68" s="61">
        <f t="shared" si="59"/>
        <v>0</v>
      </c>
      <c r="AO68" s="40">
        <f t="shared" si="73"/>
        <v>0</v>
      </c>
      <c r="AP68" s="40">
        <f t="shared" si="74"/>
        <v>0</v>
      </c>
      <c r="AQ68" s="44">
        <f t="shared" si="75"/>
        <v>0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35</v>
      </c>
      <c r="G69" s="35">
        <f>SUMIFS(WORKING!$AC$3:$AC$6802,WORKING!$A$3:$A$6802,Results!$D$3,WORKING!$B$3:$B$6802,Results!A69,WORKING!$C$3:$C$6802,Results!C69)/1000</f>
        <v>8160.5365199999987</v>
      </c>
      <c r="H69" s="35">
        <f t="shared" si="60"/>
        <v>233.15818628571424</v>
      </c>
      <c r="I69" s="187">
        <v>39</v>
      </c>
      <c r="J69" s="212">
        <v>6926</v>
      </c>
      <c r="K69" s="217">
        <f t="shared" si="61"/>
        <v>177.58974358974359</v>
      </c>
      <c r="L69" s="34">
        <f t="shared" si="54"/>
        <v>39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193.33452786407076</v>
      </c>
      <c r="N69" s="57">
        <v>0</v>
      </c>
      <c r="O69" s="57">
        <v>4</v>
      </c>
      <c r="P69" s="61">
        <f t="shared" si="55"/>
        <v>35</v>
      </c>
      <c r="Q69" s="40">
        <f t="shared" si="62"/>
        <v>0</v>
      </c>
      <c r="R69" s="40">
        <f t="shared" si="63"/>
        <v>-773.33811145628306</v>
      </c>
      <c r="S69" s="44">
        <f t="shared" si="64"/>
        <v>6766.7084752424771</v>
      </c>
      <c r="T69" s="35">
        <f t="shared" si="65"/>
        <v>35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209.77925392069926</v>
      </c>
      <c r="V69" s="57">
        <v>0</v>
      </c>
      <c r="W69" s="57">
        <v>0</v>
      </c>
      <c r="X69" s="61">
        <f t="shared" si="56"/>
        <v>35</v>
      </c>
      <c r="Y69" s="40">
        <f t="shared" si="66"/>
        <v>0</v>
      </c>
      <c r="Z69" s="40">
        <f t="shared" si="67"/>
        <v>0</v>
      </c>
      <c r="AA69" s="44">
        <f t="shared" si="68"/>
        <v>7342.2738872244745</v>
      </c>
      <c r="AB69" s="35">
        <f t="shared" si="69"/>
        <v>35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227.41003658513429</v>
      </c>
      <c r="AD69" s="57">
        <v>0</v>
      </c>
      <c r="AE69" s="57">
        <v>2</v>
      </c>
      <c r="AF69" s="61">
        <f t="shared" si="57"/>
        <v>33</v>
      </c>
      <c r="AG69" s="40">
        <f t="shared" si="70"/>
        <v>0</v>
      </c>
      <c r="AH69" s="40">
        <f t="shared" si="71"/>
        <v>-454.82007317026859</v>
      </c>
      <c r="AI69" s="44">
        <f t="shared" si="72"/>
        <v>7504.5312073094319</v>
      </c>
      <c r="AJ69" s="35">
        <f t="shared" si="58"/>
        <v>33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246.06142426343948</v>
      </c>
      <c r="AL69" s="57">
        <v>0</v>
      </c>
      <c r="AM69" s="57">
        <v>0</v>
      </c>
      <c r="AN69" s="61">
        <f t="shared" si="59"/>
        <v>33</v>
      </c>
      <c r="AO69" s="40">
        <f t="shared" si="73"/>
        <v>0</v>
      </c>
      <c r="AP69" s="40">
        <f t="shared" si="74"/>
        <v>0</v>
      </c>
      <c r="AQ69" s="44">
        <f t="shared" si="75"/>
        <v>8120.0270006935025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23</v>
      </c>
      <c r="G70" s="35">
        <f>SUMIFS(WORKING!$AC$3:$AC$6802,WORKING!$A$3:$A$6802,Results!$D$3,WORKING!$B$3:$B$6802,Results!A70,WORKING!$C$3:$C$6802,Results!C70)/1000</f>
        <v>6549.6167999999998</v>
      </c>
      <c r="H70" s="35">
        <f t="shared" si="60"/>
        <v>284.76594782608697</v>
      </c>
      <c r="I70" s="187">
        <v>20</v>
      </c>
      <c r="J70" s="212">
        <v>7236</v>
      </c>
      <c r="K70" s="217">
        <f t="shared" si="61"/>
        <v>361.8</v>
      </c>
      <c r="L70" s="34">
        <f t="shared" si="54"/>
        <v>20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393.86758326046356</v>
      </c>
      <c r="N70" s="57">
        <v>0</v>
      </c>
      <c r="O70" s="57">
        <v>0</v>
      </c>
      <c r="P70" s="61">
        <f t="shared" si="55"/>
        <v>20</v>
      </c>
      <c r="Q70" s="40">
        <f t="shared" si="62"/>
        <v>0</v>
      </c>
      <c r="R70" s="40">
        <f t="shared" si="63"/>
        <v>0</v>
      </c>
      <c r="S70" s="44">
        <f t="shared" si="64"/>
        <v>7877.3516652092712</v>
      </c>
      <c r="T70" s="35">
        <f t="shared" si="65"/>
        <v>20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427.36647515445202</v>
      </c>
      <c r="V70" s="57">
        <v>0</v>
      </c>
      <c r="W70" s="57">
        <v>0</v>
      </c>
      <c r="X70" s="61">
        <f t="shared" si="56"/>
        <v>20</v>
      </c>
      <c r="Y70" s="40">
        <f t="shared" si="66"/>
        <v>0</v>
      </c>
      <c r="Z70" s="40">
        <f t="shared" si="67"/>
        <v>0</v>
      </c>
      <c r="AA70" s="44">
        <f t="shared" si="68"/>
        <v>8547.3295030890404</v>
      </c>
      <c r="AB70" s="35">
        <f t="shared" si="69"/>
        <v>20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463.28117949338849</v>
      </c>
      <c r="AD70" s="57">
        <v>0</v>
      </c>
      <c r="AE70" s="57">
        <v>0</v>
      </c>
      <c r="AF70" s="61">
        <f t="shared" si="57"/>
        <v>20</v>
      </c>
      <c r="AG70" s="40">
        <f t="shared" si="70"/>
        <v>0</v>
      </c>
      <c r="AH70" s="40">
        <f t="shared" si="71"/>
        <v>0</v>
      </c>
      <c r="AI70" s="44">
        <f t="shared" si="72"/>
        <v>9265.6235898677696</v>
      </c>
      <c r="AJ70" s="35">
        <f t="shared" si="58"/>
        <v>20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501.27461522277105</v>
      </c>
      <c r="AL70" s="57">
        <v>0</v>
      </c>
      <c r="AM70" s="57">
        <v>0</v>
      </c>
      <c r="AN70" s="61">
        <f t="shared" si="59"/>
        <v>20</v>
      </c>
      <c r="AO70" s="40">
        <f t="shared" si="73"/>
        <v>0</v>
      </c>
      <c r="AP70" s="40">
        <f t="shared" si="74"/>
        <v>0</v>
      </c>
      <c r="AQ70" s="44">
        <f t="shared" si="75"/>
        <v>10025.492304455422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7</v>
      </c>
      <c r="G71" s="35">
        <f>SUMIFS(WORKING!$AC$3:$AC$6802,WORKING!$A$3:$A$6802,Results!$D$3,WORKING!$B$3:$B$6802,Results!A71,WORKING!$C$3:$C$6802,Results!C71)/1000</f>
        <v>2826.1829700000003</v>
      </c>
      <c r="H71" s="35">
        <f>IFERROR(G71/F71,0)</f>
        <v>403.74042428571431</v>
      </c>
      <c r="I71" s="187">
        <v>6</v>
      </c>
      <c r="J71" s="212">
        <v>2920</v>
      </c>
      <c r="K71" s="217">
        <f t="shared" si="61"/>
        <v>486.66666666666669</v>
      </c>
      <c r="L71" s="34">
        <f t="shared" si="54"/>
        <v>6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530.39612557080466</v>
      </c>
      <c r="N71" s="57">
        <v>0</v>
      </c>
      <c r="O71" s="57">
        <v>0</v>
      </c>
      <c r="P71" s="61">
        <f t="shared" si="55"/>
        <v>6</v>
      </c>
      <c r="Q71" s="40">
        <f t="shared" si="62"/>
        <v>0</v>
      </c>
      <c r="R71" s="40">
        <f t="shared" si="63"/>
        <v>0</v>
      </c>
      <c r="S71" s="44">
        <f t="shared" si="64"/>
        <v>3182.3767534248282</v>
      </c>
      <c r="T71" s="35">
        <f t="shared" si="65"/>
        <v>6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575.68648746670522</v>
      </c>
      <c r="V71" s="57">
        <v>0</v>
      </c>
      <c r="W71" s="57">
        <v>0</v>
      </c>
      <c r="X71" s="61">
        <f t="shared" si="56"/>
        <v>6</v>
      </c>
      <c r="Y71" s="40">
        <f t="shared" si="66"/>
        <v>0</v>
      </c>
      <c r="Z71" s="40">
        <f t="shared" si="67"/>
        <v>0</v>
      </c>
      <c r="AA71" s="44">
        <f t="shared" si="68"/>
        <v>3454.1189248002311</v>
      </c>
      <c r="AB71" s="35">
        <f t="shared" si="69"/>
        <v>6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624.26052950894825</v>
      </c>
      <c r="AD71" s="57">
        <v>0</v>
      </c>
      <c r="AE71" s="57">
        <v>0</v>
      </c>
      <c r="AF71" s="61">
        <f t="shared" si="57"/>
        <v>6</v>
      </c>
      <c r="AG71" s="40">
        <f t="shared" si="70"/>
        <v>0</v>
      </c>
      <c r="AH71" s="40">
        <f t="shared" si="71"/>
        <v>0</v>
      </c>
      <c r="AI71" s="44">
        <f t="shared" si="72"/>
        <v>3745.5631770536893</v>
      </c>
      <c r="AJ71" s="35">
        <f t="shared" si="58"/>
        <v>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675.66725633061833</v>
      </c>
      <c r="AL71" s="57">
        <v>0</v>
      </c>
      <c r="AM71" s="57">
        <v>0</v>
      </c>
      <c r="AN71" s="61">
        <f t="shared" si="59"/>
        <v>6</v>
      </c>
      <c r="AO71" s="40">
        <f t="shared" si="73"/>
        <v>0</v>
      </c>
      <c r="AP71" s="40">
        <f t="shared" si="74"/>
        <v>0</v>
      </c>
      <c r="AQ71" s="44">
        <f t="shared" si="75"/>
        <v>4054.00353798371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15</v>
      </c>
      <c r="G72" s="35">
        <f>SUMIFS(WORKING!$AC$3:$AC$6802,WORKING!$A$3:$A$6802,Results!$D$3,WORKING!$B$3:$B$6802,Results!A72,WORKING!$C$3:$C$6802,Results!C72)/1000</f>
        <v>7095.2501400000001</v>
      </c>
      <c r="H72" s="35">
        <f t="shared" si="60"/>
        <v>473.01667600000002</v>
      </c>
      <c r="I72" s="187">
        <v>14</v>
      </c>
      <c r="J72" s="212">
        <v>6986</v>
      </c>
      <c r="K72" s="217">
        <f>IFERROR(IF(J72="",G72,J72)/IF(I72="",F72,I72),"")</f>
        <v>499</v>
      </c>
      <c r="L72" s="34">
        <f t="shared" si="54"/>
        <v>14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543.59210142033908</v>
      </c>
      <c r="N72" s="57">
        <v>0</v>
      </c>
      <c r="O72" s="57">
        <v>0</v>
      </c>
      <c r="P72" s="61">
        <f t="shared" si="55"/>
        <v>14</v>
      </c>
      <c r="Q72" s="40">
        <f t="shared" si="62"/>
        <v>0</v>
      </c>
      <c r="R72" s="40">
        <f t="shared" si="63"/>
        <v>0</v>
      </c>
      <c r="S72" s="44">
        <f t="shared" si="64"/>
        <v>7610.2894198847471</v>
      </c>
      <c r="T72" s="35">
        <f t="shared" si="65"/>
        <v>14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589.93814672151234</v>
      </c>
      <c r="V72" s="57">
        <v>0</v>
      </c>
      <c r="W72" s="57">
        <v>0</v>
      </c>
      <c r="X72" s="61">
        <f t="shared" si="56"/>
        <v>14</v>
      </c>
      <c r="Y72" s="40">
        <f t="shared" si="66"/>
        <v>0</v>
      </c>
      <c r="Z72" s="40">
        <f t="shared" si="67"/>
        <v>0</v>
      </c>
      <c r="AA72" s="44">
        <f t="shared" si="68"/>
        <v>8259.1340541011723</v>
      </c>
      <c r="AB72" s="35">
        <f t="shared" si="69"/>
        <v>14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639.63734341829627</v>
      </c>
      <c r="AD72" s="57">
        <v>0</v>
      </c>
      <c r="AE72" s="57">
        <v>0</v>
      </c>
      <c r="AF72" s="61">
        <f t="shared" si="57"/>
        <v>14</v>
      </c>
      <c r="AG72" s="40">
        <f t="shared" si="70"/>
        <v>0</v>
      </c>
      <c r="AH72" s="40">
        <f t="shared" si="71"/>
        <v>0</v>
      </c>
      <c r="AI72" s="44">
        <f t="shared" si="72"/>
        <v>8954.9228078561482</v>
      </c>
      <c r="AJ72" s="35">
        <f t="shared" si="58"/>
        <v>14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692.22611683475134</v>
      </c>
      <c r="AL72" s="57">
        <v>0</v>
      </c>
      <c r="AM72" s="57">
        <v>0</v>
      </c>
      <c r="AN72" s="61">
        <f t="shared" si="59"/>
        <v>14</v>
      </c>
      <c r="AO72" s="40">
        <f t="shared" si="73"/>
        <v>0</v>
      </c>
      <c r="AP72" s="40">
        <f t="shared" si="74"/>
        <v>0</v>
      </c>
      <c r="AQ72" s="44">
        <f t="shared" si="75"/>
        <v>9691.1656356865187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2</v>
      </c>
      <c r="G73" s="35">
        <f>SUMIFS(WORKING!$AC$3:$AC$6802,WORKING!$A$3:$A$6802,Results!$D$3,WORKING!$B$3:$B$6802,Results!A73,WORKING!$C$3:$C$6802,Results!C73)/1000</f>
        <v>1009.0356999999999</v>
      </c>
      <c r="H73" s="35">
        <f t="shared" si="60"/>
        <v>504.51784999999995</v>
      </c>
      <c r="I73" s="187">
        <v>2</v>
      </c>
      <c r="J73" s="212">
        <v>1018</v>
      </c>
      <c r="K73" s="217">
        <f t="shared" si="61"/>
        <v>509</v>
      </c>
      <c r="L73" s="34">
        <f t="shared" si="54"/>
        <v>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554.60212092392453</v>
      </c>
      <c r="N73" s="57">
        <v>0</v>
      </c>
      <c r="O73" s="57">
        <v>0</v>
      </c>
      <c r="P73" s="61">
        <f t="shared" si="55"/>
        <v>2</v>
      </c>
      <c r="Q73" s="40">
        <f t="shared" si="62"/>
        <v>0</v>
      </c>
      <c r="R73" s="40">
        <f t="shared" si="63"/>
        <v>0</v>
      </c>
      <c r="S73" s="44">
        <f t="shared" si="64"/>
        <v>1109.2042418478491</v>
      </c>
      <c r="T73" s="35">
        <f t="shared" si="65"/>
        <v>2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601.92331940997974</v>
      </c>
      <c r="V73" s="57">
        <v>0</v>
      </c>
      <c r="W73" s="57">
        <v>0</v>
      </c>
      <c r="X73" s="61">
        <f t="shared" si="56"/>
        <v>2</v>
      </c>
      <c r="Y73" s="40">
        <f t="shared" si="66"/>
        <v>0</v>
      </c>
      <c r="Z73" s="40">
        <f t="shared" si="67"/>
        <v>0</v>
      </c>
      <c r="AA73" s="44">
        <f t="shared" si="68"/>
        <v>1203.8466388199595</v>
      </c>
      <c r="AB73" s="35">
        <f t="shared" si="69"/>
        <v>2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652.67171133278669</v>
      </c>
      <c r="AD73" s="57">
        <v>0</v>
      </c>
      <c r="AE73" s="57">
        <v>0</v>
      </c>
      <c r="AF73" s="61">
        <f t="shared" si="57"/>
        <v>2</v>
      </c>
      <c r="AG73" s="40">
        <f t="shared" si="70"/>
        <v>0</v>
      </c>
      <c r="AH73" s="40">
        <f t="shared" si="71"/>
        <v>0</v>
      </c>
      <c r="AI73" s="44">
        <f t="shared" si="72"/>
        <v>1305.3434226655734</v>
      </c>
      <c r="AJ73" s="35">
        <f t="shared" si="58"/>
        <v>2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706.37484565561681</v>
      </c>
      <c r="AL73" s="57">
        <v>0</v>
      </c>
      <c r="AM73" s="57">
        <v>0</v>
      </c>
      <c r="AN73" s="61">
        <f t="shared" si="59"/>
        <v>2</v>
      </c>
      <c r="AO73" s="40">
        <f t="shared" si="73"/>
        <v>0</v>
      </c>
      <c r="AP73" s="40">
        <f t="shared" si="74"/>
        <v>0</v>
      </c>
      <c r="AQ73" s="44">
        <f t="shared" si="75"/>
        <v>1412.7496913112336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23</v>
      </c>
      <c r="G74" s="35">
        <f>SUMIFS(WORKING!$AC$3:$AC$6802,WORKING!$A$3:$A$6802,Results!$D$3,WORKING!$B$3:$B$6802,Results!A74,WORKING!$C$3:$C$6802,Results!C74)/1000</f>
        <v>13916.510840000001</v>
      </c>
      <c r="H74" s="35">
        <f t="shared" si="60"/>
        <v>605.06568869565217</v>
      </c>
      <c r="I74" s="187">
        <v>23</v>
      </c>
      <c r="J74" s="212">
        <v>14258</v>
      </c>
      <c r="K74" s="217">
        <f t="shared" si="61"/>
        <v>619.91304347826087</v>
      </c>
      <c r="L74" s="34">
        <f t="shared" si="54"/>
        <v>23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676.81774727464631</v>
      </c>
      <c r="N74" s="57">
        <v>0</v>
      </c>
      <c r="O74" s="57">
        <v>1</v>
      </c>
      <c r="P74" s="61">
        <f t="shared" si="55"/>
        <v>22</v>
      </c>
      <c r="Q74" s="40">
        <f t="shared" si="62"/>
        <v>0</v>
      </c>
      <c r="R74" s="40">
        <f t="shared" si="63"/>
        <v>-676.81774727464631</v>
      </c>
      <c r="S74" s="44">
        <f t="shared" si="64"/>
        <v>14889.990440042218</v>
      </c>
      <c r="T74" s="35">
        <f t="shared" si="65"/>
        <v>22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734.82548198781149</v>
      </c>
      <c r="V74" s="57">
        <v>0</v>
      </c>
      <c r="W74" s="57">
        <v>0</v>
      </c>
      <c r="X74" s="61">
        <f t="shared" si="56"/>
        <v>22</v>
      </c>
      <c r="Y74" s="40">
        <f t="shared" si="66"/>
        <v>0</v>
      </c>
      <c r="Z74" s="40">
        <f t="shared" si="67"/>
        <v>0</v>
      </c>
      <c r="AA74" s="44">
        <f t="shared" si="68"/>
        <v>16166.160603731852</v>
      </c>
      <c r="AB74" s="35">
        <f t="shared" si="69"/>
        <v>22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797.05924926354862</v>
      </c>
      <c r="AD74" s="57">
        <v>0</v>
      </c>
      <c r="AE74" s="57">
        <v>0</v>
      </c>
      <c r="AF74" s="61">
        <f t="shared" si="57"/>
        <v>22</v>
      </c>
      <c r="AG74" s="40">
        <f t="shared" si="70"/>
        <v>0</v>
      </c>
      <c r="AH74" s="40">
        <f t="shared" si="71"/>
        <v>0</v>
      </c>
      <c r="AI74" s="44">
        <f t="shared" si="72"/>
        <v>17535.30348379807</v>
      </c>
      <c r="AJ74" s="35">
        <f t="shared" si="58"/>
        <v>22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862.94619398277393</v>
      </c>
      <c r="AL74" s="57">
        <v>0</v>
      </c>
      <c r="AM74" s="57">
        <v>0</v>
      </c>
      <c r="AN74" s="61">
        <f t="shared" si="59"/>
        <v>22</v>
      </c>
      <c r="AO74" s="40">
        <f t="shared" si="73"/>
        <v>0</v>
      </c>
      <c r="AP74" s="40">
        <f t="shared" si="74"/>
        <v>0</v>
      </c>
      <c r="AQ74" s="44">
        <f t="shared" si="75"/>
        <v>18984.816267621027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2</v>
      </c>
      <c r="G75" s="35">
        <f>SUMIFS(WORKING!$AC$3:$AC$6802,WORKING!$A$3:$A$6802,Results!$D$3,WORKING!$B$3:$B$6802,Results!A75,WORKING!$C$3:$C$6802,Results!C75)/1000</f>
        <v>1879.3650899999998</v>
      </c>
      <c r="H75" s="35">
        <f t="shared" si="60"/>
        <v>939.68254499999989</v>
      </c>
      <c r="I75" s="187">
        <v>2</v>
      </c>
      <c r="J75" s="212">
        <v>1733</v>
      </c>
      <c r="K75" s="217">
        <f t="shared" si="61"/>
        <v>866.5</v>
      </c>
      <c r="L75" s="34">
        <f t="shared" si="54"/>
        <v>2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946.13887484744407</v>
      </c>
      <c r="N75" s="57">
        <v>0</v>
      </c>
      <c r="O75" s="57">
        <v>0</v>
      </c>
      <c r="P75" s="61">
        <f t="shared" si="55"/>
        <v>2</v>
      </c>
      <c r="Q75" s="40">
        <f t="shared" si="62"/>
        <v>0</v>
      </c>
      <c r="R75" s="40">
        <f t="shared" si="63"/>
        <v>0</v>
      </c>
      <c r="S75" s="44">
        <f t="shared" si="64"/>
        <v>1892.2777496948881</v>
      </c>
      <c r="T75" s="35">
        <f t="shared" si="65"/>
        <v>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1027.3364885359194</v>
      </c>
      <c r="V75" s="57">
        <v>0</v>
      </c>
      <c r="W75" s="57">
        <v>0</v>
      </c>
      <c r="X75" s="61">
        <f t="shared" si="56"/>
        <v>2</v>
      </c>
      <c r="Y75" s="40">
        <f t="shared" si="66"/>
        <v>0</v>
      </c>
      <c r="Z75" s="40">
        <f t="shared" si="67"/>
        <v>0</v>
      </c>
      <c r="AA75" s="44">
        <f t="shared" si="68"/>
        <v>2054.6729770718389</v>
      </c>
      <c r="AB75" s="35">
        <f t="shared" si="69"/>
        <v>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1114.4599536425678</v>
      </c>
      <c r="AD75" s="57">
        <v>0</v>
      </c>
      <c r="AE75" s="57">
        <v>0</v>
      </c>
      <c r="AF75" s="61">
        <f t="shared" si="57"/>
        <v>2</v>
      </c>
      <c r="AG75" s="40">
        <f t="shared" si="70"/>
        <v>0</v>
      </c>
      <c r="AH75" s="40">
        <f t="shared" si="71"/>
        <v>0</v>
      </c>
      <c r="AI75" s="44">
        <f t="shared" si="72"/>
        <v>2228.9199072851357</v>
      </c>
      <c r="AJ75" s="35">
        <f t="shared" si="58"/>
        <v>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1206.7100661382285</v>
      </c>
      <c r="AL75" s="57">
        <v>0</v>
      </c>
      <c r="AM75" s="57">
        <v>0</v>
      </c>
      <c r="AN75" s="61">
        <f t="shared" si="59"/>
        <v>2</v>
      </c>
      <c r="AO75" s="40">
        <f t="shared" si="73"/>
        <v>0</v>
      </c>
      <c r="AP75" s="40">
        <f t="shared" si="74"/>
        <v>0</v>
      </c>
      <c r="AQ75" s="44">
        <f t="shared" si="75"/>
        <v>2413.420132276457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7</v>
      </c>
      <c r="G76" s="35">
        <f>SUMIFS(WORKING!$AC$3:$AC$6802,WORKING!$A$3:$A$6802,Results!$D$3,WORKING!$B$3:$B$6802,Results!A76,WORKING!$C$3:$C$6802,Results!C76)/1000</f>
        <v>7709.6479199999994</v>
      </c>
      <c r="H76" s="35">
        <f t="shared" si="60"/>
        <v>1101.3782742857143</v>
      </c>
      <c r="I76" s="187">
        <v>7</v>
      </c>
      <c r="J76" s="212">
        <v>7269</v>
      </c>
      <c r="K76" s="217">
        <f t="shared" si="61"/>
        <v>1038.4285714285713</v>
      </c>
      <c r="L76" s="34">
        <f t="shared" si="54"/>
        <v>7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1087.9619825007333</v>
      </c>
      <c r="N76" s="57">
        <v>0</v>
      </c>
      <c r="O76" s="57">
        <v>0</v>
      </c>
      <c r="P76" s="61">
        <f t="shared" si="55"/>
        <v>7</v>
      </c>
      <c r="Q76" s="40">
        <f t="shared" si="62"/>
        <v>0</v>
      </c>
      <c r="R76" s="40">
        <f t="shared" si="63"/>
        <v>0</v>
      </c>
      <c r="S76" s="44">
        <f t="shared" si="64"/>
        <v>7615.733877505133</v>
      </c>
      <c r="T76" s="35">
        <f t="shared" si="65"/>
        <v>7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1169.651155988118</v>
      </c>
      <c r="V76" s="57">
        <v>0</v>
      </c>
      <c r="W76" s="57">
        <v>0</v>
      </c>
      <c r="X76" s="61">
        <f t="shared" si="56"/>
        <v>7</v>
      </c>
      <c r="Y76" s="40">
        <f t="shared" si="66"/>
        <v>0</v>
      </c>
      <c r="Z76" s="40">
        <f t="shared" si="67"/>
        <v>0</v>
      </c>
      <c r="AA76" s="44">
        <f t="shared" si="68"/>
        <v>8187.558091916826</v>
      </c>
      <c r="AB76" s="35">
        <f t="shared" si="69"/>
        <v>7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1256.2876309732517</v>
      </c>
      <c r="AD76" s="57">
        <v>0</v>
      </c>
      <c r="AE76" s="57">
        <v>0</v>
      </c>
      <c r="AF76" s="61">
        <f t="shared" si="57"/>
        <v>7</v>
      </c>
      <c r="AG76" s="40">
        <f t="shared" si="70"/>
        <v>0</v>
      </c>
      <c r="AH76" s="40">
        <f t="shared" si="71"/>
        <v>0</v>
      </c>
      <c r="AI76" s="44">
        <f t="shared" si="72"/>
        <v>8794.0134168127624</v>
      </c>
      <c r="AJ76" s="35">
        <f t="shared" si="58"/>
        <v>7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1346.7929692477317</v>
      </c>
      <c r="AL76" s="57">
        <v>0</v>
      </c>
      <c r="AM76" s="57">
        <v>0</v>
      </c>
      <c r="AN76" s="61">
        <f t="shared" si="59"/>
        <v>7</v>
      </c>
      <c r="AO76" s="40">
        <f t="shared" si="73"/>
        <v>0</v>
      </c>
      <c r="AP76" s="40">
        <f t="shared" si="74"/>
        <v>0</v>
      </c>
      <c r="AQ76" s="44">
        <f t="shared" si="75"/>
        <v>9427.5507847341214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5</v>
      </c>
      <c r="G77" s="35">
        <f>SUMIFS(WORKING!$AC$3:$AC$6802,WORKING!$A$3:$A$6802,Results!$D$3,WORKING!$B$3:$B$6802,Results!A77,WORKING!$C$3:$C$6802,Results!C77)/1000</f>
        <v>7183.6445800000001</v>
      </c>
      <c r="H77" s="35">
        <f t="shared" si="60"/>
        <v>1436.728916</v>
      </c>
      <c r="I77" s="187">
        <v>5</v>
      </c>
      <c r="J77" s="212">
        <v>6669</v>
      </c>
      <c r="K77" s="217">
        <f t="shared" si="61"/>
        <v>1333.8</v>
      </c>
      <c r="L77" s="34">
        <f t="shared" si="54"/>
        <v>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1398.2153121702513</v>
      </c>
      <c r="N77" s="57">
        <v>0</v>
      </c>
      <c r="O77" s="57">
        <v>0</v>
      </c>
      <c r="P77" s="61">
        <f t="shared" si="55"/>
        <v>5</v>
      </c>
      <c r="Q77" s="40">
        <f t="shared" si="62"/>
        <v>0</v>
      </c>
      <c r="R77" s="40">
        <f t="shared" si="63"/>
        <v>0</v>
      </c>
      <c r="S77" s="44">
        <f t="shared" si="64"/>
        <v>6991.0765608512565</v>
      </c>
      <c r="T77" s="35">
        <f t="shared" si="65"/>
        <v>5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1504.0523010111476</v>
      </c>
      <c r="V77" s="57">
        <v>0</v>
      </c>
      <c r="W77" s="57">
        <v>0</v>
      </c>
      <c r="X77" s="61">
        <f t="shared" si="56"/>
        <v>5</v>
      </c>
      <c r="Y77" s="40">
        <f t="shared" si="66"/>
        <v>0</v>
      </c>
      <c r="Z77" s="40">
        <f t="shared" si="67"/>
        <v>0</v>
      </c>
      <c r="AA77" s="44">
        <f t="shared" si="68"/>
        <v>7520.2615050557379</v>
      </c>
      <c r="AB77" s="35">
        <f t="shared" si="69"/>
        <v>5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1616.3742298684056</v>
      </c>
      <c r="AD77" s="57">
        <v>0</v>
      </c>
      <c r="AE77" s="57">
        <v>0</v>
      </c>
      <c r="AF77" s="61">
        <f t="shared" si="57"/>
        <v>5</v>
      </c>
      <c r="AG77" s="40">
        <f t="shared" si="70"/>
        <v>0</v>
      </c>
      <c r="AH77" s="40">
        <f t="shared" si="71"/>
        <v>0</v>
      </c>
      <c r="AI77" s="44">
        <f t="shared" si="72"/>
        <v>8081.8711493420278</v>
      </c>
      <c r="AJ77" s="35">
        <f t="shared" si="58"/>
        <v>5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1733.8036958421048</v>
      </c>
      <c r="AL77" s="57">
        <v>0</v>
      </c>
      <c r="AM77" s="57">
        <v>0</v>
      </c>
      <c r="AN77" s="61">
        <f t="shared" si="59"/>
        <v>5</v>
      </c>
      <c r="AO77" s="40">
        <f t="shared" si="73"/>
        <v>0</v>
      </c>
      <c r="AP77" s="40">
        <f t="shared" si="74"/>
        <v>0</v>
      </c>
      <c r="AQ77" s="44">
        <f t="shared" si="75"/>
        <v>8669.0184792105247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1671.6091200000001</v>
      </c>
      <c r="H78" s="35">
        <f t="shared" si="60"/>
        <v>1671.6091200000001</v>
      </c>
      <c r="I78" s="187">
        <v>1</v>
      </c>
      <c r="J78" s="212">
        <v>1410</v>
      </c>
      <c r="K78" s="217">
        <f t="shared" si="61"/>
        <v>1410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1478.1808343639689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1478.1808343639689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1590.1627112560791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1590.1627112560791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1709.0141485953752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1709.0141485953752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1833.2799062407505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1833.2799062407505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320.98649999999998</v>
      </c>
      <c r="H79" s="35">
        <f t="shared" si="60"/>
        <v>0</v>
      </c>
      <c r="I79" s="187">
        <v>0</v>
      </c>
      <c r="J79" s="212">
        <v>0</v>
      </c>
      <c r="K79" s="217" t="str">
        <f t="shared" si="61"/>
        <v/>
      </c>
      <c r="L79" s="34">
        <f t="shared" si="54"/>
        <v>0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0</v>
      </c>
      <c r="N79" s="57">
        <v>0</v>
      </c>
      <c r="O79" s="57">
        <v>0</v>
      </c>
      <c r="P79" s="61">
        <f t="shared" si="55"/>
        <v>0</v>
      </c>
      <c r="Q79" s="40">
        <f t="shared" si="62"/>
        <v>0</v>
      </c>
      <c r="R79" s="40">
        <f t="shared" si="63"/>
        <v>0</v>
      </c>
      <c r="S79" s="44">
        <f t="shared" si="64"/>
        <v>0</v>
      </c>
      <c r="T79" s="35">
        <f t="shared" si="65"/>
        <v>0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0</v>
      </c>
      <c r="V79" s="57">
        <v>0</v>
      </c>
      <c r="W79" s="57">
        <v>0</v>
      </c>
      <c r="X79" s="61">
        <f t="shared" si="56"/>
        <v>0</v>
      </c>
      <c r="Y79" s="40">
        <f t="shared" si="66"/>
        <v>0</v>
      </c>
      <c r="Z79" s="40">
        <f t="shared" si="67"/>
        <v>0</v>
      </c>
      <c r="AA79" s="44">
        <f t="shared" si="68"/>
        <v>0</v>
      </c>
      <c r="AB79" s="35">
        <f t="shared" si="69"/>
        <v>0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0</v>
      </c>
      <c r="AD79" s="57">
        <v>0</v>
      </c>
      <c r="AE79" s="57">
        <v>0</v>
      </c>
      <c r="AF79" s="61">
        <f t="shared" si="57"/>
        <v>0</v>
      </c>
      <c r="AG79" s="40">
        <f t="shared" si="70"/>
        <v>0</v>
      </c>
      <c r="AH79" s="40">
        <f t="shared" si="71"/>
        <v>0</v>
      </c>
      <c r="AI79" s="44">
        <f t="shared" si="72"/>
        <v>0</v>
      </c>
      <c r="AJ79" s="35">
        <f t="shared" si="58"/>
        <v>0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0</v>
      </c>
      <c r="AL79" s="57">
        <v>0</v>
      </c>
      <c r="AM79" s="57">
        <v>0</v>
      </c>
      <c r="AN79" s="61">
        <f t="shared" si="59"/>
        <v>0</v>
      </c>
      <c r="AO79" s="40">
        <f t="shared" si="73"/>
        <v>0</v>
      </c>
      <c r="AP79" s="40">
        <f t="shared" si="74"/>
        <v>0</v>
      </c>
      <c r="AQ79" s="44">
        <f t="shared" si="75"/>
        <v>0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0</v>
      </c>
      <c r="J80" s="212">
        <v>0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0</v>
      </c>
      <c r="J81" s="212">
        <v>0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>
        <v>0</v>
      </c>
      <c r="J82" s="212">
        <v>0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>
        <v>0</v>
      </c>
      <c r="J83" s="213">
        <v>0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138</v>
      </c>
      <c r="G84" s="41">
        <f>SUM(G64:G83)</f>
        <v>62086.444350000005</v>
      </c>
      <c r="H84" s="41">
        <f>IFERROR(G84/F84,0)</f>
        <v>449.90177065217392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137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59505</v>
      </c>
      <c r="K84" s="41">
        <f>IFERROR(J84/I84,"")</f>
        <v>434.34306569343067</v>
      </c>
      <c r="L84" s="41">
        <f>SUM(L64:L83)</f>
        <v>137</v>
      </c>
      <c r="M84" s="41">
        <f>IFERROR(S84/P84,0)</f>
        <v>479.10410242232138</v>
      </c>
      <c r="N84" s="41">
        <f t="shared" ref="N84:T84" si="98">SUM(N64:N83)</f>
        <v>0</v>
      </c>
      <c r="O84" s="41">
        <f t="shared" si="98"/>
        <v>7</v>
      </c>
      <c r="P84" s="41">
        <f t="shared" si="98"/>
        <v>130</v>
      </c>
      <c r="Q84" s="41">
        <f t="shared" si="98"/>
        <v>0</v>
      </c>
      <c r="R84" s="41">
        <f t="shared" si="98"/>
        <v>-1801.1444556759207</v>
      </c>
      <c r="S84" s="45">
        <f t="shared" si="98"/>
        <v>62283.533314901782</v>
      </c>
      <c r="T84" s="41">
        <f t="shared" si="98"/>
        <v>130</v>
      </c>
      <c r="U84" s="41">
        <f>IFERROR(AA84/X84,0)</f>
        <v>518.74610244842711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130</v>
      </c>
      <c r="Y84" s="41">
        <f t="shared" si="99"/>
        <v>0</v>
      </c>
      <c r="Z84" s="41">
        <f t="shared" si="99"/>
        <v>0</v>
      </c>
      <c r="AA84" s="45">
        <f t="shared" si="99"/>
        <v>67436.993318295528</v>
      </c>
      <c r="AB84" s="41">
        <f t="shared" si="99"/>
        <v>130</v>
      </c>
      <c r="AC84" s="41">
        <f>IFERROR(AI84/AF84,0)</f>
        <v>571.50215632902996</v>
      </c>
      <c r="AD84" s="41">
        <f t="shared" ref="AD84:AJ84" si="100">SUM(AD64:AD83)</f>
        <v>0</v>
      </c>
      <c r="AE84" s="41">
        <f t="shared" si="100"/>
        <v>4</v>
      </c>
      <c r="AF84" s="41">
        <f t="shared" si="100"/>
        <v>126</v>
      </c>
      <c r="AG84" s="41">
        <f t="shared" si="100"/>
        <v>0</v>
      </c>
      <c r="AH84" s="41">
        <f t="shared" si="100"/>
        <v>-940.36706200025651</v>
      </c>
      <c r="AI84" s="45">
        <f t="shared" si="100"/>
        <v>72009.271697457778</v>
      </c>
      <c r="AJ84" s="41">
        <f t="shared" si="100"/>
        <v>126</v>
      </c>
      <c r="AK84" s="41">
        <f>IFERROR(AQ84/AN84,0)</f>
        <v>620.21143509031162</v>
      </c>
      <c r="AL84" s="41">
        <f t="shared" ref="AL84:AQ84" si="101">SUM(AL64:AL83)</f>
        <v>0</v>
      </c>
      <c r="AM84" s="41">
        <f t="shared" si="101"/>
        <v>1</v>
      </c>
      <c r="AN84" s="41">
        <f t="shared" si="101"/>
        <v>125</v>
      </c>
      <c r="AO84" s="41">
        <f t="shared" si="101"/>
        <v>0</v>
      </c>
      <c r="AP84" s="41">
        <f t="shared" si="101"/>
        <v>-222.6850496981281</v>
      </c>
      <c r="AQ84" s="45">
        <f t="shared" si="101"/>
        <v>77526.429386288946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64087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68345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73298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78868.648000000001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1803.4666850982176</v>
      </c>
      <c r="T86" s="39"/>
      <c r="U86" s="39"/>
      <c r="V86" s="53"/>
      <c r="W86" s="53"/>
      <c r="X86" s="110"/>
      <c r="Y86" s="39"/>
      <c r="Z86" s="39"/>
      <c r="AA86" s="54">
        <f>AA85-AA84</f>
        <v>908.0066817044717</v>
      </c>
      <c r="AB86" s="39"/>
      <c r="AC86" s="53"/>
      <c r="AD86" s="53"/>
      <c r="AE86" s="110"/>
      <c r="AF86" s="39"/>
      <c r="AG86" s="39"/>
      <c r="AH86" s="39"/>
      <c r="AI86" s="54">
        <f>AI85-AI84</f>
        <v>1288.7283025422221</v>
      </c>
      <c r="AJ86" s="53"/>
      <c r="AK86" s="53"/>
      <c r="AL86" s="110"/>
      <c r="AM86" s="110"/>
      <c r="AN86" s="110"/>
      <c r="AO86" s="110"/>
      <c r="AP86" s="111"/>
      <c r="AQ86" s="54">
        <f>AQ85-AQ84</f>
        <v>1342.2186137110548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Content Processing and Dissemination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2853.0337699999995</v>
      </c>
      <c r="H92" s="35">
        <f>IFERROR(G92/F92,0)</f>
        <v>0</v>
      </c>
      <c r="I92" s="156" t="s">
        <v>754</v>
      </c>
      <c r="J92" s="211">
        <v>1484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88.069919999999996</v>
      </c>
      <c r="H94" s="35">
        <f t="shared" si="108"/>
        <v>0</v>
      </c>
      <c r="I94" s="187" t="s">
        <v>754</v>
      </c>
      <c r="J94" s="212">
        <v>225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2</v>
      </c>
      <c r="G95" s="35">
        <f>SUMIFS(WORKING!$AC$3:$AC$6802,WORKING!$A$3:$A$6802,Results!$D$3,WORKING!$B$3:$B$6802,Results!A95,WORKING!$C$3:$C$6802,Results!C95)/1000</f>
        <v>363.41512999999998</v>
      </c>
      <c r="H95" s="35">
        <f t="shared" si="108"/>
        <v>181.70756499999999</v>
      </c>
      <c r="I95" s="187">
        <v>3</v>
      </c>
      <c r="J95" s="212">
        <v>358</v>
      </c>
      <c r="K95" s="217">
        <f t="shared" si="109"/>
        <v>119.33333333333333</v>
      </c>
      <c r="L95" s="34">
        <f t="shared" si="102"/>
        <v>3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129.833861666215</v>
      </c>
      <c r="N95" s="57">
        <v>0</v>
      </c>
      <c r="O95" s="57">
        <v>0</v>
      </c>
      <c r="P95" s="61">
        <f t="shared" si="103"/>
        <v>3</v>
      </c>
      <c r="Q95" s="40">
        <f t="shared" si="110"/>
        <v>0</v>
      </c>
      <c r="R95" s="40">
        <f t="shared" si="111"/>
        <v>0</v>
      </c>
      <c r="S95" s="44">
        <f t="shared" si="112"/>
        <v>389.501584998645</v>
      </c>
      <c r="T95" s="35">
        <f t="shared" si="113"/>
        <v>3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140.85129014513302</v>
      </c>
      <c r="V95" s="57">
        <v>0</v>
      </c>
      <c r="W95" s="57">
        <v>0</v>
      </c>
      <c r="X95" s="61">
        <f t="shared" si="104"/>
        <v>3</v>
      </c>
      <c r="Y95" s="40">
        <f t="shared" si="114"/>
        <v>0</v>
      </c>
      <c r="Z95" s="40">
        <f t="shared" si="115"/>
        <v>0</v>
      </c>
      <c r="AA95" s="44">
        <f t="shared" si="116"/>
        <v>422.55387043539906</v>
      </c>
      <c r="AB95" s="35">
        <f t="shared" si="117"/>
        <v>3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152.66091521016773</v>
      </c>
      <c r="AD95" s="57">
        <v>0</v>
      </c>
      <c r="AE95" s="57">
        <v>0</v>
      </c>
      <c r="AF95" s="61">
        <f t="shared" si="105"/>
        <v>3</v>
      </c>
      <c r="AG95" s="40">
        <f t="shared" si="118"/>
        <v>0</v>
      </c>
      <c r="AH95" s="40">
        <f t="shared" si="119"/>
        <v>0</v>
      </c>
      <c r="AI95" s="44">
        <f t="shared" si="120"/>
        <v>457.98274563050319</v>
      </c>
      <c r="AJ95" s="35">
        <f t="shared" si="106"/>
        <v>3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165.15134304668658</v>
      </c>
      <c r="AL95" s="57">
        <v>0</v>
      </c>
      <c r="AM95" s="57">
        <v>0</v>
      </c>
      <c r="AN95" s="61">
        <f t="shared" si="107"/>
        <v>3</v>
      </c>
      <c r="AO95" s="40">
        <f t="shared" si="121"/>
        <v>0</v>
      </c>
      <c r="AP95" s="40">
        <f t="shared" si="122"/>
        <v>0</v>
      </c>
      <c r="AQ95" s="44">
        <f t="shared" si="123"/>
        <v>495.45402914005973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1</v>
      </c>
      <c r="G96" s="35">
        <f>SUMIFS(WORKING!$AC$3:$AC$6802,WORKING!$A$3:$A$6802,Results!$D$3,WORKING!$B$3:$B$6802,Results!A96,WORKING!$C$3:$C$6802,Results!C96)/1000</f>
        <v>165.18073999999999</v>
      </c>
      <c r="H96" s="35">
        <f t="shared" si="108"/>
        <v>165.18073999999999</v>
      </c>
      <c r="I96" s="187">
        <v>2</v>
      </c>
      <c r="J96" s="212">
        <v>589</v>
      </c>
      <c r="K96" s="217">
        <f t="shared" si="109"/>
        <v>294.5</v>
      </c>
      <c r="L96" s="34">
        <f t="shared" si="102"/>
        <v>2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319.53985959033417</v>
      </c>
      <c r="N96" s="57">
        <v>0</v>
      </c>
      <c r="O96" s="57">
        <v>0</v>
      </c>
      <c r="P96" s="61">
        <f t="shared" si="103"/>
        <v>2</v>
      </c>
      <c r="Q96" s="40">
        <f t="shared" si="110"/>
        <v>0</v>
      </c>
      <c r="R96" s="40">
        <f t="shared" si="111"/>
        <v>0</v>
      </c>
      <c r="S96" s="44">
        <f t="shared" si="112"/>
        <v>639.07971918066835</v>
      </c>
      <c r="T96" s="35">
        <f t="shared" si="113"/>
        <v>2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346.39593954988931</v>
      </c>
      <c r="V96" s="57">
        <v>0</v>
      </c>
      <c r="W96" s="57">
        <v>0</v>
      </c>
      <c r="X96" s="61">
        <f t="shared" si="104"/>
        <v>2</v>
      </c>
      <c r="Y96" s="40">
        <f t="shared" si="114"/>
        <v>0</v>
      </c>
      <c r="Z96" s="40">
        <f t="shared" si="115"/>
        <v>0</v>
      </c>
      <c r="AA96" s="44">
        <f t="shared" si="116"/>
        <v>692.79187909977861</v>
      </c>
      <c r="AB96" s="35">
        <f t="shared" si="117"/>
        <v>2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375.15797485941482</v>
      </c>
      <c r="AD96" s="57">
        <v>0</v>
      </c>
      <c r="AE96" s="57">
        <v>0</v>
      </c>
      <c r="AF96" s="61">
        <f t="shared" si="105"/>
        <v>2</v>
      </c>
      <c r="AG96" s="40">
        <f t="shared" si="118"/>
        <v>0</v>
      </c>
      <c r="AH96" s="40">
        <f t="shared" si="119"/>
        <v>0</v>
      </c>
      <c r="AI96" s="44">
        <f t="shared" si="120"/>
        <v>750.31594971882964</v>
      </c>
      <c r="AJ96" s="35">
        <f t="shared" si="106"/>
        <v>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405.5474789595076</v>
      </c>
      <c r="AL96" s="57">
        <v>0</v>
      </c>
      <c r="AM96" s="57">
        <v>0</v>
      </c>
      <c r="AN96" s="61">
        <f t="shared" si="107"/>
        <v>2</v>
      </c>
      <c r="AO96" s="40">
        <f t="shared" si="121"/>
        <v>0</v>
      </c>
      <c r="AP96" s="40">
        <f t="shared" si="122"/>
        <v>0</v>
      </c>
      <c r="AQ96" s="44">
        <f t="shared" si="123"/>
        <v>811.0949579190152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8</v>
      </c>
      <c r="G97" s="35">
        <f>SUMIFS(WORKING!$AC$3:$AC$6802,WORKING!$A$3:$A$6802,Results!$D$3,WORKING!$B$3:$B$6802,Results!A97,WORKING!$C$3:$C$6802,Results!C97)/1000</f>
        <v>2189.4756299999999</v>
      </c>
      <c r="H97" s="35">
        <f t="shared" si="108"/>
        <v>273.68445374999999</v>
      </c>
      <c r="I97" s="187">
        <v>18</v>
      </c>
      <c r="J97" s="212">
        <v>4427</v>
      </c>
      <c r="K97" s="217">
        <f t="shared" si="109"/>
        <v>245.94444444444446</v>
      </c>
      <c r="L97" s="34">
        <f t="shared" si="102"/>
        <v>18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267.37585611885498</v>
      </c>
      <c r="N97" s="57">
        <v>0</v>
      </c>
      <c r="O97" s="57">
        <v>0</v>
      </c>
      <c r="P97" s="61">
        <f t="shared" si="103"/>
        <v>18</v>
      </c>
      <c r="Q97" s="40">
        <f t="shared" si="110"/>
        <v>0</v>
      </c>
      <c r="R97" s="40">
        <f t="shared" si="111"/>
        <v>0</v>
      </c>
      <c r="S97" s="44">
        <f t="shared" si="112"/>
        <v>4812.76541013939</v>
      </c>
      <c r="T97" s="35">
        <f t="shared" si="113"/>
        <v>18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290.00014596984607</v>
      </c>
      <c r="V97" s="57">
        <v>0</v>
      </c>
      <c r="W97" s="57">
        <v>0</v>
      </c>
      <c r="X97" s="61">
        <f t="shared" si="104"/>
        <v>18</v>
      </c>
      <c r="Y97" s="40">
        <f t="shared" si="114"/>
        <v>0</v>
      </c>
      <c r="Z97" s="40">
        <f t="shared" si="115"/>
        <v>0</v>
      </c>
      <c r="AA97" s="44">
        <f t="shared" si="116"/>
        <v>5220.0026274572292</v>
      </c>
      <c r="AB97" s="35">
        <f t="shared" si="117"/>
        <v>18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314.24504663854475</v>
      </c>
      <c r="AD97" s="57">
        <v>0</v>
      </c>
      <c r="AE97" s="57">
        <v>0</v>
      </c>
      <c r="AF97" s="61">
        <f t="shared" si="105"/>
        <v>18</v>
      </c>
      <c r="AG97" s="40">
        <f t="shared" si="118"/>
        <v>0</v>
      </c>
      <c r="AH97" s="40">
        <f t="shared" si="119"/>
        <v>0</v>
      </c>
      <c r="AI97" s="44">
        <f t="shared" si="120"/>
        <v>5656.4108394938057</v>
      </c>
      <c r="AJ97" s="35">
        <f t="shared" si="106"/>
        <v>18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339.88024096385789</v>
      </c>
      <c r="AL97" s="57">
        <v>0</v>
      </c>
      <c r="AM97" s="57">
        <v>0</v>
      </c>
      <c r="AN97" s="61">
        <f t="shared" si="107"/>
        <v>18</v>
      </c>
      <c r="AO97" s="40">
        <f t="shared" si="121"/>
        <v>0</v>
      </c>
      <c r="AP97" s="40">
        <f t="shared" si="122"/>
        <v>0</v>
      </c>
      <c r="AQ97" s="44">
        <f t="shared" si="123"/>
        <v>6117.844337349442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10.648950000000001</v>
      </c>
      <c r="H98" s="35">
        <f t="shared" si="108"/>
        <v>0</v>
      </c>
      <c r="I98" s="187">
        <v>3</v>
      </c>
      <c r="J98" s="212">
        <v>909</v>
      </c>
      <c r="K98" s="217">
        <f t="shared" si="109"/>
        <v>303</v>
      </c>
      <c r="L98" s="34">
        <f t="shared" si="102"/>
        <v>3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330.91841999999997</v>
      </c>
      <c r="N98" s="57">
        <v>0</v>
      </c>
      <c r="O98" s="57">
        <v>0</v>
      </c>
      <c r="P98" s="61">
        <f t="shared" si="103"/>
        <v>3</v>
      </c>
      <c r="Q98" s="40">
        <f t="shared" si="110"/>
        <v>0</v>
      </c>
      <c r="R98" s="40">
        <f t="shared" si="111"/>
        <v>0</v>
      </c>
      <c r="S98" s="44">
        <f t="shared" si="112"/>
        <v>992.75525999999991</v>
      </c>
      <c r="T98" s="35">
        <f t="shared" si="113"/>
        <v>3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359.39395004099998</v>
      </c>
      <c r="V98" s="57">
        <v>0</v>
      </c>
      <c r="W98" s="57">
        <v>0</v>
      </c>
      <c r="X98" s="61">
        <f t="shared" si="104"/>
        <v>3</v>
      </c>
      <c r="Y98" s="40">
        <f t="shared" si="114"/>
        <v>0</v>
      </c>
      <c r="Z98" s="40">
        <f t="shared" si="115"/>
        <v>0</v>
      </c>
      <c r="AA98" s="44">
        <f t="shared" si="116"/>
        <v>1078.181850123</v>
      </c>
      <c r="AB98" s="35">
        <f t="shared" si="117"/>
        <v>3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389.95501458273634</v>
      </c>
      <c r="AD98" s="57">
        <v>0</v>
      </c>
      <c r="AE98" s="57">
        <v>0</v>
      </c>
      <c r="AF98" s="61">
        <f t="shared" si="105"/>
        <v>3</v>
      </c>
      <c r="AG98" s="40">
        <f t="shared" si="118"/>
        <v>0</v>
      </c>
      <c r="AH98" s="40">
        <f t="shared" si="119"/>
        <v>0</v>
      </c>
      <c r="AI98" s="44">
        <f t="shared" si="120"/>
        <v>1169.865043748209</v>
      </c>
      <c r="AJ98" s="35">
        <f t="shared" si="106"/>
        <v>3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422.32323056817631</v>
      </c>
      <c r="AL98" s="57">
        <v>0</v>
      </c>
      <c r="AM98" s="57">
        <v>0</v>
      </c>
      <c r="AN98" s="61">
        <f t="shared" si="107"/>
        <v>3</v>
      </c>
      <c r="AO98" s="40">
        <f t="shared" si="121"/>
        <v>0</v>
      </c>
      <c r="AP98" s="40">
        <f t="shared" si="122"/>
        <v>0</v>
      </c>
      <c r="AQ98" s="44">
        <f t="shared" si="123"/>
        <v>1266.9696917045289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18</v>
      </c>
      <c r="G99" s="35">
        <f>SUMIFS(WORKING!$AC$3:$AC$6802,WORKING!$A$3:$A$6802,Results!$D$3,WORKING!$B$3:$B$6802,Results!A99,WORKING!$C$3:$C$6802,Results!C99)/1000</f>
        <v>7076.41849</v>
      </c>
      <c r="H99" s="35">
        <f t="shared" si="108"/>
        <v>393.13436055555553</v>
      </c>
      <c r="I99" s="187">
        <v>21</v>
      </c>
      <c r="J99" s="212">
        <v>8146</v>
      </c>
      <c r="K99" s="217">
        <f t="shared" si="109"/>
        <v>387.90476190476193</v>
      </c>
      <c r="L99" s="34">
        <f t="shared" si="102"/>
        <v>21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422.6821119989304</v>
      </c>
      <c r="N99" s="57">
        <v>0</v>
      </c>
      <c r="O99" s="57">
        <v>0</v>
      </c>
      <c r="P99" s="61">
        <f t="shared" si="103"/>
        <v>21</v>
      </c>
      <c r="Q99" s="40">
        <f t="shared" si="110"/>
        <v>0</v>
      </c>
      <c r="R99" s="40">
        <f t="shared" si="111"/>
        <v>0</v>
      </c>
      <c r="S99" s="44">
        <f t="shared" si="112"/>
        <v>8876.3243519775388</v>
      </c>
      <c r="T99" s="35">
        <f t="shared" si="113"/>
        <v>21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458.75445152893769</v>
      </c>
      <c r="V99" s="57">
        <v>0</v>
      </c>
      <c r="W99" s="57">
        <v>0</v>
      </c>
      <c r="X99" s="61">
        <f t="shared" si="104"/>
        <v>21</v>
      </c>
      <c r="Y99" s="40">
        <f t="shared" si="114"/>
        <v>0</v>
      </c>
      <c r="Z99" s="40">
        <f t="shared" si="115"/>
        <v>0</v>
      </c>
      <c r="AA99" s="44">
        <f t="shared" si="116"/>
        <v>9633.8434821076917</v>
      </c>
      <c r="AB99" s="35">
        <f t="shared" si="117"/>
        <v>21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497.43998921567442</v>
      </c>
      <c r="AD99" s="57">
        <v>0</v>
      </c>
      <c r="AE99" s="57">
        <v>0</v>
      </c>
      <c r="AF99" s="61">
        <f t="shared" si="105"/>
        <v>21</v>
      </c>
      <c r="AG99" s="40">
        <f t="shared" si="118"/>
        <v>0</v>
      </c>
      <c r="AH99" s="40">
        <f t="shared" si="119"/>
        <v>0</v>
      </c>
      <c r="AI99" s="44">
        <f t="shared" si="120"/>
        <v>10446.239773529163</v>
      </c>
      <c r="AJ99" s="35">
        <f t="shared" si="106"/>
        <v>21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538.37876370542563</v>
      </c>
      <c r="AL99" s="57">
        <v>0</v>
      </c>
      <c r="AM99" s="57">
        <v>0</v>
      </c>
      <c r="AN99" s="61">
        <f t="shared" si="107"/>
        <v>21</v>
      </c>
      <c r="AO99" s="40">
        <f t="shared" si="121"/>
        <v>0</v>
      </c>
      <c r="AP99" s="40">
        <f t="shared" si="122"/>
        <v>0</v>
      </c>
      <c r="AQ99" s="44">
        <f t="shared" si="123"/>
        <v>11305.954037813939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21</v>
      </c>
      <c r="G100" s="35">
        <f>SUMIFS(WORKING!$AC$3:$AC$6802,WORKING!$A$3:$A$6802,Results!$D$3,WORKING!$B$3:$B$6802,Results!A100,WORKING!$C$3:$C$6802,Results!C100)/1000</f>
        <v>9097.5987800000021</v>
      </c>
      <c r="H100" s="35">
        <f t="shared" si="108"/>
        <v>433.21898952380963</v>
      </c>
      <c r="I100" s="187">
        <v>42</v>
      </c>
      <c r="J100" s="212">
        <v>17533</v>
      </c>
      <c r="K100" s="217">
        <f t="shared" si="109"/>
        <v>417.45238095238096</v>
      </c>
      <c r="L100" s="34">
        <f t="shared" si="102"/>
        <v>42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454.76878712942954</v>
      </c>
      <c r="N100" s="57">
        <v>0</v>
      </c>
      <c r="O100" s="57">
        <v>0</v>
      </c>
      <c r="P100" s="61">
        <f t="shared" si="103"/>
        <v>42</v>
      </c>
      <c r="Q100" s="40">
        <f t="shared" si="110"/>
        <v>0</v>
      </c>
      <c r="R100" s="40">
        <f t="shared" si="111"/>
        <v>0</v>
      </c>
      <c r="S100" s="44">
        <f t="shared" si="112"/>
        <v>19100.28905943604</v>
      </c>
      <c r="T100" s="35">
        <f t="shared" si="113"/>
        <v>42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493.54509689366188</v>
      </c>
      <c r="V100" s="57">
        <v>0</v>
      </c>
      <c r="W100" s="57">
        <v>0</v>
      </c>
      <c r="X100" s="61">
        <f t="shared" si="104"/>
        <v>42</v>
      </c>
      <c r="Y100" s="40">
        <f t="shared" si="114"/>
        <v>0</v>
      </c>
      <c r="Z100" s="40">
        <f t="shared" si="115"/>
        <v>0</v>
      </c>
      <c r="AA100" s="44">
        <f t="shared" si="116"/>
        <v>20728.894069533799</v>
      </c>
      <c r="AB100" s="35">
        <f t="shared" si="117"/>
        <v>42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535.12721337752271</v>
      </c>
      <c r="AD100" s="57">
        <v>0</v>
      </c>
      <c r="AE100" s="57">
        <v>0</v>
      </c>
      <c r="AF100" s="61">
        <f t="shared" si="105"/>
        <v>42</v>
      </c>
      <c r="AG100" s="40">
        <f t="shared" si="118"/>
        <v>0</v>
      </c>
      <c r="AH100" s="40">
        <f t="shared" si="119"/>
        <v>0</v>
      </c>
      <c r="AI100" s="44">
        <f t="shared" si="120"/>
        <v>22475.342961855953</v>
      </c>
      <c r="AJ100" s="35">
        <f t="shared" si="106"/>
        <v>42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579.12738020362133</v>
      </c>
      <c r="AL100" s="57">
        <v>0</v>
      </c>
      <c r="AM100" s="57">
        <v>1</v>
      </c>
      <c r="AN100" s="61">
        <f t="shared" si="107"/>
        <v>41</v>
      </c>
      <c r="AO100" s="40">
        <f t="shared" si="121"/>
        <v>0</v>
      </c>
      <c r="AP100" s="40">
        <f t="shared" si="122"/>
        <v>-579.12738020362133</v>
      </c>
      <c r="AQ100" s="44">
        <f t="shared" si="123"/>
        <v>23744.222588348475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12.548500000000001</v>
      </c>
      <c r="H101" s="35">
        <f t="shared" si="108"/>
        <v>0</v>
      </c>
      <c r="I101" s="187">
        <v>2</v>
      </c>
      <c r="J101" s="212">
        <v>1068</v>
      </c>
      <c r="K101" s="217">
        <f t="shared" si="109"/>
        <v>534</v>
      </c>
      <c r="L101" s="34">
        <f t="shared" si="102"/>
        <v>2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583.20276000000001</v>
      </c>
      <c r="N101" s="57">
        <v>0</v>
      </c>
      <c r="O101" s="57">
        <v>0</v>
      </c>
      <c r="P101" s="61">
        <f t="shared" si="103"/>
        <v>2</v>
      </c>
      <c r="Q101" s="40">
        <f t="shared" si="110"/>
        <v>0</v>
      </c>
      <c r="R101" s="40">
        <f t="shared" si="111"/>
        <v>0</v>
      </c>
      <c r="S101" s="44">
        <f t="shared" si="112"/>
        <v>1166.40552</v>
      </c>
      <c r="T101" s="35">
        <f t="shared" si="113"/>
        <v>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633.38735749800003</v>
      </c>
      <c r="V101" s="57">
        <v>0</v>
      </c>
      <c r="W101" s="57">
        <v>0</v>
      </c>
      <c r="X101" s="61">
        <f t="shared" si="104"/>
        <v>2</v>
      </c>
      <c r="Y101" s="40">
        <f t="shared" si="114"/>
        <v>0</v>
      </c>
      <c r="Z101" s="40">
        <f t="shared" si="115"/>
        <v>0</v>
      </c>
      <c r="AA101" s="44">
        <f t="shared" si="116"/>
        <v>1266.7747149960001</v>
      </c>
      <c r="AB101" s="35">
        <f t="shared" si="117"/>
        <v>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687.24745144284236</v>
      </c>
      <c r="AD101" s="57">
        <v>0</v>
      </c>
      <c r="AE101" s="57">
        <v>0</v>
      </c>
      <c r="AF101" s="61">
        <f t="shared" si="105"/>
        <v>2</v>
      </c>
      <c r="AG101" s="40">
        <f t="shared" si="118"/>
        <v>0</v>
      </c>
      <c r="AH101" s="40">
        <f t="shared" si="119"/>
        <v>0</v>
      </c>
      <c r="AI101" s="44">
        <f t="shared" si="120"/>
        <v>1374.4949028856847</v>
      </c>
      <c r="AJ101" s="35">
        <f t="shared" si="106"/>
        <v>2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744.29242614985537</v>
      </c>
      <c r="AL101" s="57">
        <v>0</v>
      </c>
      <c r="AM101" s="57">
        <v>0</v>
      </c>
      <c r="AN101" s="61">
        <f t="shared" si="107"/>
        <v>2</v>
      </c>
      <c r="AO101" s="40">
        <f t="shared" si="121"/>
        <v>0</v>
      </c>
      <c r="AP101" s="40">
        <f t="shared" si="122"/>
        <v>0</v>
      </c>
      <c r="AQ101" s="44">
        <f t="shared" si="123"/>
        <v>1488.5848522997107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23</v>
      </c>
      <c r="G102" s="35">
        <f>SUMIFS(WORKING!$AC$3:$AC$6802,WORKING!$A$3:$A$6802,Results!$D$3,WORKING!$B$3:$B$6802,Results!A102,WORKING!$C$3:$C$6802,Results!C102)/1000</f>
        <v>14380.743899999998</v>
      </c>
      <c r="H102" s="35">
        <f t="shared" si="108"/>
        <v>625.24973478260858</v>
      </c>
      <c r="I102" s="187">
        <v>31</v>
      </c>
      <c r="J102" s="212">
        <v>20475</v>
      </c>
      <c r="K102" s="217">
        <f t="shared" si="109"/>
        <v>660.48387096774195</v>
      </c>
      <c r="L102" s="34">
        <f t="shared" si="102"/>
        <v>31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721.18875239030467</v>
      </c>
      <c r="N102" s="57">
        <v>0</v>
      </c>
      <c r="O102" s="57">
        <v>0</v>
      </c>
      <c r="P102" s="61">
        <f t="shared" si="103"/>
        <v>31</v>
      </c>
      <c r="Q102" s="40">
        <f t="shared" si="110"/>
        <v>0</v>
      </c>
      <c r="R102" s="40">
        <f t="shared" si="111"/>
        <v>0</v>
      </c>
      <c r="S102" s="44">
        <f t="shared" si="112"/>
        <v>22356.851324099443</v>
      </c>
      <c r="T102" s="35">
        <f t="shared" si="113"/>
        <v>31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783.0818885016638</v>
      </c>
      <c r="V102" s="57">
        <v>0</v>
      </c>
      <c r="W102" s="57">
        <v>0</v>
      </c>
      <c r="X102" s="61">
        <f t="shared" si="104"/>
        <v>31</v>
      </c>
      <c r="Y102" s="40">
        <f t="shared" si="114"/>
        <v>0</v>
      </c>
      <c r="Z102" s="40">
        <f t="shared" si="115"/>
        <v>0</v>
      </c>
      <c r="AA102" s="44">
        <f t="shared" si="116"/>
        <v>24275.538543551578</v>
      </c>
      <c r="AB102" s="35">
        <f t="shared" si="117"/>
        <v>31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849.49209460166571</v>
      </c>
      <c r="AD102" s="57">
        <v>0</v>
      </c>
      <c r="AE102" s="57">
        <v>0</v>
      </c>
      <c r="AF102" s="61">
        <f t="shared" si="105"/>
        <v>31</v>
      </c>
      <c r="AG102" s="40">
        <f t="shared" si="118"/>
        <v>0</v>
      </c>
      <c r="AH102" s="40">
        <f t="shared" si="119"/>
        <v>0</v>
      </c>
      <c r="AI102" s="44">
        <f t="shared" si="120"/>
        <v>26334.254932651638</v>
      </c>
      <c r="AJ102" s="35">
        <f t="shared" si="106"/>
        <v>31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919.81019317363837</v>
      </c>
      <c r="AL102" s="57">
        <v>0</v>
      </c>
      <c r="AM102" s="57">
        <v>0</v>
      </c>
      <c r="AN102" s="61">
        <f t="shared" si="107"/>
        <v>31</v>
      </c>
      <c r="AO102" s="40">
        <f t="shared" si="121"/>
        <v>0</v>
      </c>
      <c r="AP102" s="40">
        <f t="shared" si="122"/>
        <v>0</v>
      </c>
      <c r="AQ102" s="44">
        <f t="shared" si="123"/>
        <v>28514.11598838279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</v>
      </c>
      <c r="G103" s="35">
        <f>SUMIFS(WORKING!$AC$3:$AC$6802,WORKING!$A$3:$A$6802,Results!$D$3,WORKING!$B$3:$B$6802,Results!A103,WORKING!$C$3:$C$6802,Results!C103)/1000</f>
        <v>587.57485000000008</v>
      </c>
      <c r="H103" s="35">
        <f t="shared" si="108"/>
        <v>587.57485000000008</v>
      </c>
      <c r="I103" s="187">
        <v>1</v>
      </c>
      <c r="J103" s="212">
        <v>1360</v>
      </c>
      <c r="K103" s="217">
        <f t="shared" si="109"/>
        <v>1360</v>
      </c>
      <c r="L103" s="34">
        <f t="shared" si="102"/>
        <v>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1485.307786460663</v>
      </c>
      <c r="N103" s="57">
        <v>0</v>
      </c>
      <c r="O103" s="57">
        <v>0</v>
      </c>
      <c r="P103" s="61">
        <f t="shared" si="103"/>
        <v>1</v>
      </c>
      <c r="Q103" s="40">
        <f t="shared" si="110"/>
        <v>0</v>
      </c>
      <c r="R103" s="40">
        <f t="shared" si="111"/>
        <v>0</v>
      </c>
      <c r="S103" s="44">
        <f t="shared" si="112"/>
        <v>1485.307786460663</v>
      </c>
      <c r="T103" s="35">
        <f t="shared" si="113"/>
        <v>1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1613.1156830562006</v>
      </c>
      <c r="V103" s="57">
        <v>0</v>
      </c>
      <c r="W103" s="57">
        <v>0</v>
      </c>
      <c r="X103" s="61">
        <f t="shared" si="104"/>
        <v>1</v>
      </c>
      <c r="Y103" s="40">
        <f t="shared" si="114"/>
        <v>0</v>
      </c>
      <c r="Z103" s="40">
        <f t="shared" si="115"/>
        <v>0</v>
      </c>
      <c r="AA103" s="44">
        <f t="shared" si="116"/>
        <v>1613.1156830562006</v>
      </c>
      <c r="AB103" s="35">
        <f t="shared" si="117"/>
        <v>1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1750.283895375057</v>
      </c>
      <c r="AD103" s="57">
        <v>0</v>
      </c>
      <c r="AE103" s="57">
        <v>0</v>
      </c>
      <c r="AF103" s="61">
        <f t="shared" si="105"/>
        <v>1</v>
      </c>
      <c r="AG103" s="40">
        <f t="shared" si="118"/>
        <v>0</v>
      </c>
      <c r="AH103" s="40">
        <f t="shared" si="119"/>
        <v>0</v>
      </c>
      <c r="AI103" s="44">
        <f t="shared" si="120"/>
        <v>1750.283895375057</v>
      </c>
      <c r="AJ103" s="35">
        <f t="shared" si="106"/>
        <v>1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1895.5628746887501</v>
      </c>
      <c r="AL103" s="57">
        <v>0</v>
      </c>
      <c r="AM103" s="57">
        <v>0</v>
      </c>
      <c r="AN103" s="61">
        <f t="shared" si="107"/>
        <v>1</v>
      </c>
      <c r="AO103" s="40">
        <f t="shared" si="121"/>
        <v>0</v>
      </c>
      <c r="AP103" s="40">
        <f t="shared" si="122"/>
        <v>0</v>
      </c>
      <c r="AQ103" s="44">
        <f t="shared" si="123"/>
        <v>1895.5628746887501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8</v>
      </c>
      <c r="G104" s="35">
        <f>SUMIFS(WORKING!$AC$3:$AC$6802,WORKING!$A$3:$A$6802,Results!$D$3,WORKING!$B$3:$B$6802,Results!A104,WORKING!$C$3:$C$6802,Results!C104)/1000</f>
        <v>7159.7941899999996</v>
      </c>
      <c r="H104" s="35">
        <f t="shared" si="108"/>
        <v>894.97427374999995</v>
      </c>
      <c r="I104" s="187">
        <v>11</v>
      </c>
      <c r="J104" s="212">
        <v>9768</v>
      </c>
      <c r="K104" s="217">
        <f t="shared" si="109"/>
        <v>888</v>
      </c>
      <c r="L104" s="34">
        <f t="shared" si="102"/>
        <v>11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930.68265846788711</v>
      </c>
      <c r="N104" s="57">
        <v>0</v>
      </c>
      <c r="O104" s="57">
        <v>0</v>
      </c>
      <c r="P104" s="61">
        <f t="shared" si="103"/>
        <v>11</v>
      </c>
      <c r="Q104" s="40">
        <f t="shared" si="110"/>
        <v>0</v>
      </c>
      <c r="R104" s="40">
        <f t="shared" si="111"/>
        <v>0</v>
      </c>
      <c r="S104" s="44">
        <f t="shared" si="112"/>
        <v>10237.509243146758</v>
      </c>
      <c r="T104" s="35">
        <f t="shared" si="113"/>
        <v>11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1000.9118279427813</v>
      </c>
      <c r="V104" s="57">
        <v>0</v>
      </c>
      <c r="W104" s="57">
        <v>0</v>
      </c>
      <c r="X104" s="61">
        <f t="shared" si="104"/>
        <v>11</v>
      </c>
      <c r="Y104" s="40">
        <f t="shared" si="114"/>
        <v>0</v>
      </c>
      <c r="Z104" s="40">
        <f t="shared" si="115"/>
        <v>0</v>
      </c>
      <c r="AA104" s="44">
        <f t="shared" si="116"/>
        <v>11010.030107370594</v>
      </c>
      <c r="AB104" s="35">
        <f t="shared" si="117"/>
        <v>11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1075.4249697985865</v>
      </c>
      <c r="AD104" s="57">
        <v>0</v>
      </c>
      <c r="AE104" s="57">
        <v>0</v>
      </c>
      <c r="AF104" s="61">
        <f t="shared" si="105"/>
        <v>11</v>
      </c>
      <c r="AG104" s="40">
        <f t="shared" si="118"/>
        <v>0</v>
      </c>
      <c r="AH104" s="40">
        <f t="shared" si="119"/>
        <v>0</v>
      </c>
      <c r="AI104" s="44">
        <f t="shared" si="120"/>
        <v>11829.674667784451</v>
      </c>
      <c r="AJ104" s="35">
        <f t="shared" si="106"/>
        <v>11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1153.3030423477546</v>
      </c>
      <c r="AL104" s="57">
        <v>0</v>
      </c>
      <c r="AM104" s="57">
        <v>0</v>
      </c>
      <c r="AN104" s="61">
        <f t="shared" si="107"/>
        <v>11</v>
      </c>
      <c r="AO104" s="40">
        <f t="shared" si="121"/>
        <v>0</v>
      </c>
      <c r="AP104" s="40">
        <f t="shared" si="122"/>
        <v>0</v>
      </c>
      <c r="AQ104" s="44">
        <f t="shared" si="123"/>
        <v>12686.333465825301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</v>
      </c>
      <c r="G105" s="35">
        <f>SUMIFS(WORKING!$AC$3:$AC$6802,WORKING!$A$3:$A$6802,Results!$D$3,WORKING!$B$3:$B$6802,Results!A105,WORKING!$C$3:$C$6802,Results!C105)/1000</f>
        <v>1241.0261699999999</v>
      </c>
      <c r="H105" s="35">
        <f t="shared" si="108"/>
        <v>1241.0261699999999</v>
      </c>
      <c r="I105" s="187">
        <v>2</v>
      </c>
      <c r="J105" s="212">
        <v>2211</v>
      </c>
      <c r="K105" s="217">
        <f t="shared" si="109"/>
        <v>1105.5</v>
      </c>
      <c r="L105" s="34">
        <f t="shared" si="102"/>
        <v>2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1158.8203965878549</v>
      </c>
      <c r="N105" s="57">
        <v>0</v>
      </c>
      <c r="O105" s="57">
        <v>0</v>
      </c>
      <c r="P105" s="61">
        <f t="shared" si="103"/>
        <v>2</v>
      </c>
      <c r="Q105" s="40">
        <f t="shared" si="110"/>
        <v>0</v>
      </c>
      <c r="R105" s="40">
        <f t="shared" si="111"/>
        <v>0</v>
      </c>
      <c r="S105" s="44">
        <f t="shared" si="112"/>
        <v>2317.6407931757099</v>
      </c>
      <c r="T105" s="35">
        <f t="shared" si="113"/>
        <v>2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1246.4620435978302</v>
      </c>
      <c r="V105" s="57">
        <v>0</v>
      </c>
      <c r="W105" s="57">
        <v>0</v>
      </c>
      <c r="X105" s="61">
        <f t="shared" si="104"/>
        <v>2</v>
      </c>
      <c r="Y105" s="40">
        <f t="shared" si="114"/>
        <v>0</v>
      </c>
      <c r="Z105" s="40">
        <f t="shared" si="115"/>
        <v>0</v>
      </c>
      <c r="AA105" s="44">
        <f t="shared" si="116"/>
        <v>2492.9240871956604</v>
      </c>
      <c r="AB105" s="35">
        <f t="shared" si="117"/>
        <v>2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1339.467191399928</v>
      </c>
      <c r="AD105" s="57">
        <v>0</v>
      </c>
      <c r="AE105" s="57">
        <v>0</v>
      </c>
      <c r="AF105" s="61">
        <f t="shared" si="105"/>
        <v>2</v>
      </c>
      <c r="AG105" s="40">
        <f t="shared" si="118"/>
        <v>0</v>
      </c>
      <c r="AH105" s="40">
        <f t="shared" si="119"/>
        <v>0</v>
      </c>
      <c r="AI105" s="44">
        <f t="shared" si="120"/>
        <v>2678.9343827998559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1436.6935106793676</v>
      </c>
      <c r="AL105" s="57">
        <v>0</v>
      </c>
      <c r="AM105" s="57">
        <v>0</v>
      </c>
      <c r="AN105" s="61">
        <f t="shared" si="107"/>
        <v>2</v>
      </c>
      <c r="AO105" s="40">
        <f t="shared" si="121"/>
        <v>0</v>
      </c>
      <c r="AP105" s="40">
        <f t="shared" si="122"/>
        <v>0</v>
      </c>
      <c r="AQ105" s="44">
        <f t="shared" si="123"/>
        <v>2873.3870213587352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2</v>
      </c>
      <c r="G106" s="35">
        <f>SUMIFS(WORKING!$AC$3:$AC$6802,WORKING!$A$3:$A$6802,Results!$D$3,WORKING!$B$3:$B$6802,Results!A106,WORKING!$C$3:$C$6802,Results!C106)/1000</f>
        <v>2612.6864500000001</v>
      </c>
      <c r="H106" s="35">
        <f t="shared" si="108"/>
        <v>1306.3432250000001</v>
      </c>
      <c r="I106" s="187">
        <v>2</v>
      </c>
      <c r="J106" s="212">
        <v>1839</v>
      </c>
      <c r="K106" s="217">
        <f t="shared" si="109"/>
        <v>919.5</v>
      </c>
      <c r="L106" s="34">
        <f t="shared" si="102"/>
        <v>2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962.70111754864263</v>
      </c>
      <c r="N106" s="57">
        <v>0</v>
      </c>
      <c r="O106" s="57">
        <v>0</v>
      </c>
      <c r="P106" s="61">
        <f t="shared" si="103"/>
        <v>2</v>
      </c>
      <c r="Q106" s="40">
        <f t="shared" si="110"/>
        <v>0</v>
      </c>
      <c r="R106" s="40">
        <f t="shared" si="111"/>
        <v>0</v>
      </c>
      <c r="S106" s="44">
        <f t="shared" si="112"/>
        <v>1925.4022350972853</v>
      </c>
      <c r="T106" s="35">
        <f t="shared" si="113"/>
        <v>2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1034.276750046897</v>
      </c>
      <c r="V106" s="57">
        <v>0</v>
      </c>
      <c r="W106" s="57">
        <v>0</v>
      </c>
      <c r="X106" s="61">
        <f t="shared" si="104"/>
        <v>2</v>
      </c>
      <c r="Y106" s="40">
        <f t="shared" si="114"/>
        <v>0</v>
      </c>
      <c r="Z106" s="40">
        <f t="shared" si="115"/>
        <v>0</v>
      </c>
      <c r="AA106" s="44">
        <f t="shared" si="116"/>
        <v>2068.5535000937939</v>
      </c>
      <c r="AB106" s="35">
        <f t="shared" si="117"/>
        <v>2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1110.125664626946</v>
      </c>
      <c r="AD106" s="57">
        <v>0</v>
      </c>
      <c r="AE106" s="57">
        <v>0</v>
      </c>
      <c r="AF106" s="61">
        <f t="shared" si="105"/>
        <v>2</v>
      </c>
      <c r="AG106" s="40">
        <f t="shared" si="118"/>
        <v>0</v>
      </c>
      <c r="AH106" s="40">
        <f t="shared" si="119"/>
        <v>0</v>
      </c>
      <c r="AI106" s="44">
        <f t="shared" si="120"/>
        <v>2220.251329253892</v>
      </c>
      <c r="AJ106" s="35">
        <f t="shared" si="106"/>
        <v>2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1189.2866702559638</v>
      </c>
      <c r="AL106" s="57">
        <v>0</v>
      </c>
      <c r="AM106" s="57">
        <v>0</v>
      </c>
      <c r="AN106" s="61">
        <f t="shared" si="107"/>
        <v>2</v>
      </c>
      <c r="AO106" s="40">
        <f t="shared" si="121"/>
        <v>0</v>
      </c>
      <c r="AP106" s="40">
        <f t="shared" si="122"/>
        <v>0</v>
      </c>
      <c r="AQ106" s="44">
        <f t="shared" si="123"/>
        <v>2378.5733405119277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85</v>
      </c>
      <c r="G112" s="41">
        <f>SUM(G92:G111)</f>
        <v>47838.215469999996</v>
      </c>
      <c r="H112" s="41">
        <f>IFERROR(G112/F112,0)</f>
        <v>562.80253494117642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138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70392</v>
      </c>
      <c r="K112" s="41">
        <f>IFERROR(J112/I112,"")</f>
        <v>510.08695652173913</v>
      </c>
      <c r="L112" s="41">
        <f>SUM(L92:L111)</f>
        <v>138</v>
      </c>
      <c r="M112" s="41">
        <f>IFERROR(S112/P112,0)</f>
        <v>538.40458179501547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138</v>
      </c>
      <c r="Q112" s="41">
        <f t="shared" si="124"/>
        <v>0</v>
      </c>
      <c r="R112" s="41">
        <f t="shared" si="124"/>
        <v>0</v>
      </c>
      <c r="S112" s="45">
        <f t="shared" si="124"/>
        <v>74299.832287712139</v>
      </c>
      <c r="T112" s="41">
        <f t="shared" si="124"/>
        <v>138</v>
      </c>
      <c r="U112" s="41">
        <f>IFERROR(AA112/X112,0)</f>
        <v>583.35655373203417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138</v>
      </c>
      <c r="Y112" s="41">
        <f t="shared" si="125"/>
        <v>0</v>
      </c>
      <c r="Z112" s="41">
        <f t="shared" si="125"/>
        <v>0</v>
      </c>
      <c r="AA112" s="45">
        <f t="shared" si="125"/>
        <v>80503.204415020722</v>
      </c>
      <c r="AB112" s="41">
        <f t="shared" si="125"/>
        <v>138</v>
      </c>
      <c r="AC112" s="41">
        <f>IFERROR(AI112/AF112,0)</f>
        <v>631.47863351251488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138</v>
      </c>
      <c r="AG112" s="41">
        <f t="shared" si="126"/>
        <v>0</v>
      </c>
      <c r="AH112" s="41">
        <f t="shared" si="126"/>
        <v>0</v>
      </c>
      <c r="AI112" s="45">
        <f t="shared" si="126"/>
        <v>87144.051424727048</v>
      </c>
      <c r="AJ112" s="41">
        <f t="shared" si="126"/>
        <v>138</v>
      </c>
      <c r="AK112" s="41">
        <f>IFERROR(AQ112/AN112,0)</f>
        <v>683.05180427257426</v>
      </c>
      <c r="AL112" s="41">
        <f t="shared" ref="AL112:AQ112" si="127">SUM(AL92:AL111)</f>
        <v>0</v>
      </c>
      <c r="AM112" s="41">
        <f t="shared" si="127"/>
        <v>1</v>
      </c>
      <c r="AN112" s="41">
        <f t="shared" si="127"/>
        <v>137</v>
      </c>
      <c r="AO112" s="41">
        <f t="shared" si="127"/>
        <v>0</v>
      </c>
      <c r="AP112" s="41">
        <f t="shared" si="127"/>
        <v>-579.12738020362133</v>
      </c>
      <c r="AQ112" s="45">
        <f t="shared" si="127"/>
        <v>93578.097185342674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74346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79287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85031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91493.356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46.167712287860923</v>
      </c>
      <c r="T114" s="39"/>
      <c r="U114" s="39"/>
      <c r="V114" s="53"/>
      <c r="W114" s="53"/>
      <c r="X114" s="110"/>
      <c r="Y114" s="39"/>
      <c r="Z114" s="39"/>
      <c r="AA114" s="54">
        <f>AA113-AA112</f>
        <v>-1216.2044150207221</v>
      </c>
      <c r="AB114" s="39"/>
      <c r="AC114" s="53"/>
      <c r="AD114" s="53"/>
      <c r="AE114" s="110"/>
      <c r="AF114" s="39"/>
      <c r="AG114" s="39"/>
      <c r="AH114" s="39"/>
      <c r="AI114" s="54">
        <f>AI113-AI112</f>
        <v>-2113.0514247270476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-2084.7411853426747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Intergovernmental Coordination and Stakeholder Management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0</v>
      </c>
      <c r="J120" s="211">
        <v>1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9</v>
      </c>
      <c r="G122" s="35">
        <f>SUMIFS(WORKING!$AC$3:$AC$6802,WORKING!$A$3:$A$6802,Results!$D$3,WORKING!$B$3:$B$6802,Results!A122,WORKING!$C$3:$C$6802,Results!C122)/1000</f>
        <v>1138.8895</v>
      </c>
      <c r="H122" s="35">
        <f t="shared" si="134"/>
        <v>126.54327777777777</v>
      </c>
      <c r="I122" s="187">
        <v>8</v>
      </c>
      <c r="J122" s="212">
        <v>1155</v>
      </c>
      <c r="K122" s="217">
        <f t="shared" si="135"/>
        <v>144.375</v>
      </c>
      <c r="L122" s="34">
        <f t="shared" si="128"/>
        <v>8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156.49815224672705</v>
      </c>
      <c r="N122" s="57">
        <v>0</v>
      </c>
      <c r="O122" s="57">
        <v>1</v>
      </c>
      <c r="P122" s="61">
        <f t="shared" si="129"/>
        <v>7</v>
      </c>
      <c r="Q122" s="40">
        <f t="shared" si="136"/>
        <v>0</v>
      </c>
      <c r="R122" s="40">
        <f t="shared" si="137"/>
        <v>-156.49815224672705</v>
      </c>
      <c r="S122" s="44">
        <f t="shared" si="138"/>
        <v>1095.4870657270894</v>
      </c>
      <c r="T122" s="35">
        <f t="shared" si="139"/>
        <v>7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169.60158407413186</v>
      </c>
      <c r="V122" s="57">
        <v>0</v>
      </c>
      <c r="W122" s="57">
        <v>0</v>
      </c>
      <c r="X122" s="61">
        <f t="shared" si="130"/>
        <v>7</v>
      </c>
      <c r="Y122" s="40">
        <f t="shared" si="140"/>
        <v>0</v>
      </c>
      <c r="Z122" s="40">
        <f t="shared" si="141"/>
        <v>0</v>
      </c>
      <c r="AA122" s="44">
        <f t="shared" si="142"/>
        <v>1187.2110885189231</v>
      </c>
      <c r="AB122" s="35">
        <f t="shared" si="143"/>
        <v>7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183.63038044362742</v>
      </c>
      <c r="AD122" s="57">
        <v>0</v>
      </c>
      <c r="AE122" s="57">
        <v>1</v>
      </c>
      <c r="AF122" s="61">
        <f t="shared" si="131"/>
        <v>6</v>
      </c>
      <c r="AG122" s="40">
        <f t="shared" si="144"/>
        <v>0</v>
      </c>
      <c r="AH122" s="40">
        <f t="shared" si="145"/>
        <v>-183.63038044362742</v>
      </c>
      <c r="AI122" s="44">
        <f t="shared" si="146"/>
        <v>1101.7822826617644</v>
      </c>
      <c r="AJ122" s="35">
        <f t="shared" si="132"/>
        <v>6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198.4476235462723</v>
      </c>
      <c r="AL122" s="57">
        <v>0</v>
      </c>
      <c r="AM122" s="57">
        <v>0</v>
      </c>
      <c r="AN122" s="61">
        <f t="shared" si="133"/>
        <v>6</v>
      </c>
      <c r="AO122" s="40">
        <f t="shared" si="147"/>
        <v>0</v>
      </c>
      <c r="AP122" s="40">
        <f t="shared" si="148"/>
        <v>0</v>
      </c>
      <c r="AQ122" s="44">
        <f t="shared" si="149"/>
        <v>1190.6857412776337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2</v>
      </c>
      <c r="G123" s="35">
        <f>SUMIFS(WORKING!$AC$3:$AC$6802,WORKING!$A$3:$A$6802,Results!$D$3,WORKING!$B$3:$B$6802,Results!A123,WORKING!$C$3:$C$6802,Results!C123)/1000</f>
        <v>328.08663999999987</v>
      </c>
      <c r="H123" s="35">
        <f t="shared" si="134"/>
        <v>164.04331999999994</v>
      </c>
      <c r="I123" s="187">
        <v>2</v>
      </c>
      <c r="J123" s="212">
        <v>331</v>
      </c>
      <c r="K123" s="217">
        <f t="shared" si="135"/>
        <v>165.5</v>
      </c>
      <c r="L123" s="34">
        <f t="shared" si="128"/>
        <v>2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180.10473600587906</v>
      </c>
      <c r="N123" s="57">
        <v>0</v>
      </c>
      <c r="O123" s="57">
        <v>0</v>
      </c>
      <c r="P123" s="61">
        <f t="shared" si="129"/>
        <v>2</v>
      </c>
      <c r="Q123" s="40">
        <f t="shared" si="136"/>
        <v>0</v>
      </c>
      <c r="R123" s="40">
        <f t="shared" si="137"/>
        <v>0</v>
      </c>
      <c r="S123" s="44">
        <f t="shared" si="138"/>
        <v>360.20947201175812</v>
      </c>
      <c r="T123" s="35">
        <f t="shared" si="139"/>
        <v>2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195.40338423476271</v>
      </c>
      <c r="V123" s="57">
        <v>0</v>
      </c>
      <c r="W123" s="57">
        <v>0</v>
      </c>
      <c r="X123" s="61">
        <f t="shared" si="130"/>
        <v>2</v>
      </c>
      <c r="Y123" s="40">
        <f t="shared" si="140"/>
        <v>0</v>
      </c>
      <c r="Z123" s="40">
        <f t="shared" si="141"/>
        <v>0</v>
      </c>
      <c r="AA123" s="44">
        <f t="shared" si="142"/>
        <v>390.80676846952542</v>
      </c>
      <c r="AB123" s="35">
        <f t="shared" si="143"/>
        <v>2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211.80341222736337</v>
      </c>
      <c r="AD123" s="57">
        <v>0</v>
      </c>
      <c r="AE123" s="57">
        <v>0</v>
      </c>
      <c r="AF123" s="61">
        <f t="shared" si="131"/>
        <v>2</v>
      </c>
      <c r="AG123" s="40">
        <f t="shared" si="144"/>
        <v>0</v>
      </c>
      <c r="AH123" s="40">
        <f t="shared" si="145"/>
        <v>0</v>
      </c>
      <c r="AI123" s="44">
        <f t="shared" si="146"/>
        <v>423.60682445472673</v>
      </c>
      <c r="AJ123" s="35">
        <f t="shared" si="132"/>
        <v>2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229.15035256059429</v>
      </c>
      <c r="AL123" s="57">
        <v>0</v>
      </c>
      <c r="AM123" s="57">
        <v>0</v>
      </c>
      <c r="AN123" s="61">
        <f t="shared" si="133"/>
        <v>2</v>
      </c>
      <c r="AO123" s="40">
        <f t="shared" si="147"/>
        <v>0</v>
      </c>
      <c r="AP123" s="40">
        <f t="shared" si="148"/>
        <v>0</v>
      </c>
      <c r="AQ123" s="44">
        <f t="shared" si="149"/>
        <v>458.30070512118857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1</v>
      </c>
      <c r="G124" s="35">
        <f>SUMIFS(WORKING!$AC$3:$AC$6802,WORKING!$A$3:$A$6802,Results!$D$3,WORKING!$B$3:$B$6802,Results!A124,WORKING!$C$3:$C$6802,Results!C124)/1000</f>
        <v>180.57873999999998</v>
      </c>
      <c r="H124" s="35">
        <f t="shared" si="134"/>
        <v>180.57873999999998</v>
      </c>
      <c r="I124" s="187">
        <v>2</v>
      </c>
      <c r="J124" s="212">
        <v>187</v>
      </c>
      <c r="K124" s="217">
        <f t="shared" si="135"/>
        <v>93.5</v>
      </c>
      <c r="L124" s="34">
        <f t="shared" si="128"/>
        <v>2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101.56458189379866</v>
      </c>
      <c r="N124" s="57">
        <v>0</v>
      </c>
      <c r="O124" s="57">
        <v>0</v>
      </c>
      <c r="P124" s="61">
        <f t="shared" si="129"/>
        <v>2</v>
      </c>
      <c r="Q124" s="40">
        <f t="shared" si="136"/>
        <v>0</v>
      </c>
      <c r="R124" s="40">
        <f t="shared" si="137"/>
        <v>0</v>
      </c>
      <c r="S124" s="44">
        <f t="shared" si="138"/>
        <v>203.12916378759732</v>
      </c>
      <c r="T124" s="35">
        <f t="shared" si="139"/>
        <v>2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110.13577564378522</v>
      </c>
      <c r="V124" s="57">
        <v>0</v>
      </c>
      <c r="W124" s="57">
        <v>0</v>
      </c>
      <c r="X124" s="61">
        <f t="shared" si="130"/>
        <v>2</v>
      </c>
      <c r="Y124" s="40">
        <f t="shared" si="140"/>
        <v>0</v>
      </c>
      <c r="Z124" s="40">
        <f t="shared" si="141"/>
        <v>0</v>
      </c>
      <c r="AA124" s="44">
        <f t="shared" si="142"/>
        <v>220.27155128757045</v>
      </c>
      <c r="AB124" s="35">
        <f t="shared" si="143"/>
        <v>2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119.31862056870877</v>
      </c>
      <c r="AD124" s="57">
        <v>0</v>
      </c>
      <c r="AE124" s="57">
        <v>0</v>
      </c>
      <c r="AF124" s="61">
        <f t="shared" si="131"/>
        <v>2</v>
      </c>
      <c r="AG124" s="40">
        <f t="shared" si="144"/>
        <v>0</v>
      </c>
      <c r="AH124" s="40">
        <f t="shared" si="145"/>
        <v>0</v>
      </c>
      <c r="AI124" s="44">
        <f t="shared" si="146"/>
        <v>238.63724113741753</v>
      </c>
      <c r="AJ124" s="35">
        <f t="shared" si="132"/>
        <v>2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129.02511349920695</v>
      </c>
      <c r="AL124" s="57">
        <v>0</v>
      </c>
      <c r="AM124" s="57">
        <v>0</v>
      </c>
      <c r="AN124" s="61">
        <f t="shared" si="133"/>
        <v>2</v>
      </c>
      <c r="AO124" s="40">
        <f t="shared" si="147"/>
        <v>0</v>
      </c>
      <c r="AP124" s="40">
        <f t="shared" si="148"/>
        <v>0</v>
      </c>
      <c r="AQ124" s="44">
        <f t="shared" si="149"/>
        <v>258.0502269984139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23</v>
      </c>
      <c r="G125" s="35">
        <f>SUMIFS(WORKING!$AC$3:$AC$6802,WORKING!$A$3:$A$6802,Results!$D$3,WORKING!$B$3:$B$6802,Results!A125,WORKING!$C$3:$C$6802,Results!C125)/1000</f>
        <v>5254.5429500000009</v>
      </c>
      <c r="H125" s="35">
        <f t="shared" si="134"/>
        <v>228.45838913043482</v>
      </c>
      <c r="I125" s="187">
        <v>22</v>
      </c>
      <c r="J125" s="212">
        <v>5257</v>
      </c>
      <c r="K125" s="217">
        <f t="shared" si="135"/>
        <v>238.95454545454547</v>
      </c>
      <c r="L125" s="34">
        <f t="shared" si="128"/>
        <v>22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259.8334475579129</v>
      </c>
      <c r="N125" s="57">
        <v>0</v>
      </c>
      <c r="O125" s="57">
        <v>0</v>
      </c>
      <c r="P125" s="61">
        <f t="shared" si="129"/>
        <v>22</v>
      </c>
      <c r="Q125" s="40">
        <f t="shared" si="136"/>
        <v>0</v>
      </c>
      <c r="R125" s="40">
        <f t="shared" si="137"/>
        <v>0</v>
      </c>
      <c r="S125" s="44">
        <f t="shared" si="138"/>
        <v>5716.3358462740835</v>
      </c>
      <c r="T125" s="35">
        <f t="shared" si="139"/>
        <v>22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281.83932709358379</v>
      </c>
      <c r="V125" s="57">
        <v>0</v>
      </c>
      <c r="W125" s="57">
        <v>0</v>
      </c>
      <c r="X125" s="61">
        <f t="shared" si="130"/>
        <v>22</v>
      </c>
      <c r="Y125" s="40">
        <f t="shared" si="140"/>
        <v>0</v>
      </c>
      <c r="Z125" s="40">
        <f t="shared" si="141"/>
        <v>0</v>
      </c>
      <c r="AA125" s="44">
        <f t="shared" si="142"/>
        <v>6200.4651960588435</v>
      </c>
      <c r="AB125" s="35">
        <f t="shared" si="143"/>
        <v>22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305.42329549026471</v>
      </c>
      <c r="AD125" s="57">
        <v>0</v>
      </c>
      <c r="AE125" s="57">
        <v>1</v>
      </c>
      <c r="AF125" s="61">
        <f t="shared" si="131"/>
        <v>21</v>
      </c>
      <c r="AG125" s="40">
        <f t="shared" si="144"/>
        <v>0</v>
      </c>
      <c r="AH125" s="40">
        <f t="shared" si="145"/>
        <v>-305.42329549026471</v>
      </c>
      <c r="AI125" s="44">
        <f t="shared" si="146"/>
        <v>6413.8892052955589</v>
      </c>
      <c r="AJ125" s="35">
        <f t="shared" si="132"/>
        <v>21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330.36166037239326</v>
      </c>
      <c r="AL125" s="57">
        <v>0</v>
      </c>
      <c r="AM125" s="57">
        <v>0</v>
      </c>
      <c r="AN125" s="61">
        <f t="shared" si="133"/>
        <v>21</v>
      </c>
      <c r="AO125" s="40">
        <f t="shared" si="147"/>
        <v>0</v>
      </c>
      <c r="AP125" s="40">
        <f t="shared" si="148"/>
        <v>0</v>
      </c>
      <c r="AQ125" s="44">
        <f t="shared" si="149"/>
        <v>6937.5948678202585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20</v>
      </c>
      <c r="G126" s="35">
        <f>SUMIFS(WORKING!$AC$3:$AC$6802,WORKING!$A$3:$A$6802,Results!$D$3,WORKING!$B$3:$B$6802,Results!A126,WORKING!$C$3:$C$6802,Results!C126)/1000</f>
        <v>7463.6390700000002</v>
      </c>
      <c r="H126" s="35">
        <f t="shared" si="134"/>
        <v>373.18195350000002</v>
      </c>
      <c r="I126" s="187">
        <v>23</v>
      </c>
      <c r="J126" s="212">
        <v>6720</v>
      </c>
      <c r="K126" s="217">
        <f t="shared" si="135"/>
        <v>292.17391304347825</v>
      </c>
      <c r="L126" s="34">
        <f t="shared" si="128"/>
        <v>23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318.08143676342718</v>
      </c>
      <c r="N126" s="57">
        <v>0</v>
      </c>
      <c r="O126" s="57">
        <v>0</v>
      </c>
      <c r="P126" s="61">
        <f t="shared" si="129"/>
        <v>23</v>
      </c>
      <c r="Q126" s="40">
        <f t="shared" si="136"/>
        <v>0</v>
      </c>
      <c r="R126" s="40">
        <f t="shared" si="137"/>
        <v>0</v>
      </c>
      <c r="S126" s="44">
        <f t="shared" si="138"/>
        <v>7315.8730455588247</v>
      </c>
      <c r="T126" s="35">
        <f t="shared" si="139"/>
        <v>23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345.13669281364116</v>
      </c>
      <c r="V126" s="57">
        <v>0</v>
      </c>
      <c r="W126" s="57">
        <v>0</v>
      </c>
      <c r="X126" s="61">
        <f t="shared" si="130"/>
        <v>23</v>
      </c>
      <c r="Y126" s="40">
        <f t="shared" si="140"/>
        <v>0</v>
      </c>
      <c r="Z126" s="40">
        <f t="shared" si="141"/>
        <v>0</v>
      </c>
      <c r="AA126" s="44">
        <f t="shared" si="142"/>
        <v>7938.1439347137466</v>
      </c>
      <c r="AB126" s="35">
        <f t="shared" si="143"/>
        <v>23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374.14333845062225</v>
      </c>
      <c r="AD126" s="57">
        <v>0</v>
      </c>
      <c r="AE126" s="57">
        <v>0</v>
      </c>
      <c r="AF126" s="61">
        <f t="shared" si="131"/>
        <v>23</v>
      </c>
      <c r="AG126" s="40">
        <f t="shared" si="144"/>
        <v>0</v>
      </c>
      <c r="AH126" s="40">
        <f t="shared" si="145"/>
        <v>0</v>
      </c>
      <c r="AI126" s="44">
        <f t="shared" si="146"/>
        <v>8605.296784364311</v>
      </c>
      <c r="AJ126" s="35">
        <f t="shared" si="132"/>
        <v>23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404.82927514621036</v>
      </c>
      <c r="AL126" s="57">
        <v>0</v>
      </c>
      <c r="AM126" s="57">
        <v>0</v>
      </c>
      <c r="AN126" s="61">
        <f t="shared" si="133"/>
        <v>23</v>
      </c>
      <c r="AO126" s="40">
        <f t="shared" si="147"/>
        <v>0</v>
      </c>
      <c r="AP126" s="40">
        <f t="shared" si="148"/>
        <v>0</v>
      </c>
      <c r="AQ126" s="44">
        <f t="shared" si="149"/>
        <v>9311.0733283628379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5</v>
      </c>
      <c r="G127" s="35">
        <f>SUMIFS(WORKING!$AC$3:$AC$6802,WORKING!$A$3:$A$6802,Results!$D$3,WORKING!$B$3:$B$6802,Results!A127,WORKING!$C$3:$C$6802,Results!C127)/1000</f>
        <v>1734.2896899999998</v>
      </c>
      <c r="H127" s="35">
        <f t="shared" si="134"/>
        <v>346.85793799999999</v>
      </c>
      <c r="I127" s="187">
        <v>4</v>
      </c>
      <c r="J127" s="212">
        <v>1762</v>
      </c>
      <c r="K127" s="217">
        <f t="shared" si="135"/>
        <v>440.5</v>
      </c>
      <c r="L127" s="34">
        <f t="shared" si="128"/>
        <v>4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479.93560580307837</v>
      </c>
      <c r="N127" s="57">
        <v>0</v>
      </c>
      <c r="O127" s="57">
        <v>0</v>
      </c>
      <c r="P127" s="61">
        <f t="shared" si="129"/>
        <v>4</v>
      </c>
      <c r="Q127" s="40">
        <f t="shared" si="136"/>
        <v>0</v>
      </c>
      <c r="R127" s="40">
        <f t="shared" si="137"/>
        <v>0</v>
      </c>
      <c r="S127" s="44">
        <f t="shared" si="138"/>
        <v>1919.7424232123135</v>
      </c>
      <c r="T127" s="35">
        <f t="shared" si="139"/>
        <v>4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520.8768181909237</v>
      </c>
      <c r="V127" s="57">
        <v>0</v>
      </c>
      <c r="W127" s="57">
        <v>0</v>
      </c>
      <c r="X127" s="61">
        <f t="shared" si="130"/>
        <v>4</v>
      </c>
      <c r="Y127" s="40">
        <f t="shared" si="140"/>
        <v>0</v>
      </c>
      <c r="Z127" s="40">
        <f t="shared" si="141"/>
        <v>0</v>
      </c>
      <c r="AA127" s="44">
        <f t="shared" si="142"/>
        <v>2083.5072727636948</v>
      </c>
      <c r="AB127" s="35">
        <f t="shared" si="143"/>
        <v>4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564.78226734944951</v>
      </c>
      <c r="AD127" s="57">
        <v>0</v>
      </c>
      <c r="AE127" s="57">
        <v>0</v>
      </c>
      <c r="AF127" s="61">
        <f t="shared" si="131"/>
        <v>4</v>
      </c>
      <c r="AG127" s="40">
        <f t="shared" si="144"/>
        <v>0</v>
      </c>
      <c r="AH127" s="40">
        <f t="shared" si="145"/>
        <v>0</v>
      </c>
      <c r="AI127" s="44">
        <f t="shared" si="146"/>
        <v>2259.129069397798</v>
      </c>
      <c r="AJ127" s="35">
        <f t="shared" si="132"/>
        <v>4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611.24295169355173</v>
      </c>
      <c r="AL127" s="57">
        <v>0</v>
      </c>
      <c r="AM127" s="57">
        <v>0</v>
      </c>
      <c r="AN127" s="61">
        <f t="shared" si="133"/>
        <v>4</v>
      </c>
      <c r="AO127" s="40">
        <f t="shared" si="147"/>
        <v>0</v>
      </c>
      <c r="AP127" s="40">
        <f t="shared" si="148"/>
        <v>0</v>
      </c>
      <c r="AQ127" s="44">
        <f t="shared" si="149"/>
        <v>2444.9718067742069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58</v>
      </c>
      <c r="G128" s="35">
        <f>SUMIFS(WORKING!$AC$3:$AC$6802,WORKING!$A$3:$A$6802,Results!$D$3,WORKING!$B$3:$B$6802,Results!A128,WORKING!$C$3:$C$6802,Results!C128)/1000</f>
        <v>21238.435569999998</v>
      </c>
      <c r="H128" s="35">
        <f t="shared" si="134"/>
        <v>366.17992362068964</v>
      </c>
      <c r="I128" s="187">
        <v>57</v>
      </c>
      <c r="J128" s="212">
        <v>22518</v>
      </c>
      <c r="K128" s="217">
        <f t="shared" si="135"/>
        <v>395.05263157894734</v>
      </c>
      <c r="L128" s="34">
        <f t="shared" si="128"/>
        <v>57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430.32318950619759</v>
      </c>
      <c r="N128" s="57">
        <v>0</v>
      </c>
      <c r="O128" s="57">
        <v>0</v>
      </c>
      <c r="P128" s="61">
        <f t="shared" si="129"/>
        <v>57</v>
      </c>
      <c r="Q128" s="40">
        <f t="shared" si="136"/>
        <v>0</v>
      </c>
      <c r="R128" s="40">
        <f t="shared" si="137"/>
        <v>0</v>
      </c>
      <c r="S128" s="44">
        <f t="shared" si="138"/>
        <v>24528.421801853263</v>
      </c>
      <c r="T128" s="35">
        <f t="shared" si="139"/>
        <v>57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467.00038699349676</v>
      </c>
      <c r="V128" s="57">
        <v>0</v>
      </c>
      <c r="W128" s="57">
        <v>0</v>
      </c>
      <c r="X128" s="61">
        <f t="shared" si="130"/>
        <v>57</v>
      </c>
      <c r="Y128" s="40">
        <f t="shared" si="140"/>
        <v>0</v>
      </c>
      <c r="Z128" s="40">
        <f t="shared" si="141"/>
        <v>0</v>
      </c>
      <c r="AA128" s="44">
        <f t="shared" si="142"/>
        <v>26619.022058629314</v>
      </c>
      <c r="AB128" s="35">
        <f t="shared" si="143"/>
        <v>57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506.33015326453921</v>
      </c>
      <c r="AD128" s="57">
        <v>0</v>
      </c>
      <c r="AE128" s="57">
        <v>0</v>
      </c>
      <c r="AF128" s="61">
        <f t="shared" si="131"/>
        <v>57</v>
      </c>
      <c r="AG128" s="40">
        <f t="shared" si="144"/>
        <v>0</v>
      </c>
      <c r="AH128" s="40">
        <f t="shared" si="145"/>
        <v>0</v>
      </c>
      <c r="AI128" s="44">
        <f t="shared" si="146"/>
        <v>28860.818736078734</v>
      </c>
      <c r="AJ128" s="35">
        <f t="shared" si="132"/>
        <v>57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547.94544889207589</v>
      </c>
      <c r="AL128" s="57">
        <v>0</v>
      </c>
      <c r="AM128" s="57">
        <v>0</v>
      </c>
      <c r="AN128" s="61">
        <f t="shared" si="133"/>
        <v>57</v>
      </c>
      <c r="AO128" s="40">
        <f t="shared" si="147"/>
        <v>0</v>
      </c>
      <c r="AP128" s="40">
        <f t="shared" si="148"/>
        <v>0</v>
      </c>
      <c r="AQ128" s="44">
        <f t="shared" si="149"/>
        <v>31232.890586848327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2</v>
      </c>
      <c r="G129" s="35">
        <f>SUMIFS(WORKING!$AC$3:$AC$6802,WORKING!$A$3:$A$6802,Results!$D$3,WORKING!$B$3:$B$6802,Results!A129,WORKING!$C$3:$C$6802,Results!C129)/1000</f>
        <v>1199.8266699999999</v>
      </c>
      <c r="H129" s="35">
        <f t="shared" si="134"/>
        <v>599.91333499999996</v>
      </c>
      <c r="I129" s="187">
        <v>2</v>
      </c>
      <c r="J129" s="212">
        <v>1215</v>
      </c>
      <c r="K129" s="217">
        <f t="shared" si="135"/>
        <v>607.5</v>
      </c>
      <c r="L129" s="34">
        <f t="shared" si="128"/>
        <v>2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662.39530185405295</v>
      </c>
      <c r="N129" s="57">
        <v>0</v>
      </c>
      <c r="O129" s="57">
        <v>0</v>
      </c>
      <c r="P129" s="61">
        <f t="shared" si="129"/>
        <v>2</v>
      </c>
      <c r="Q129" s="40">
        <f t="shared" si="136"/>
        <v>0</v>
      </c>
      <c r="R129" s="40">
        <f t="shared" si="137"/>
        <v>0</v>
      </c>
      <c r="S129" s="44">
        <f t="shared" si="138"/>
        <v>1324.7906037081059</v>
      </c>
      <c r="T129" s="35">
        <f t="shared" si="139"/>
        <v>2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719.05534981185588</v>
      </c>
      <c r="V129" s="57">
        <v>0</v>
      </c>
      <c r="W129" s="57">
        <v>0</v>
      </c>
      <c r="X129" s="61">
        <f t="shared" si="130"/>
        <v>2</v>
      </c>
      <c r="Y129" s="40">
        <f t="shared" si="140"/>
        <v>0</v>
      </c>
      <c r="Z129" s="40">
        <f t="shared" si="141"/>
        <v>0</v>
      </c>
      <c r="AA129" s="44">
        <f t="shared" si="142"/>
        <v>1438.1106996237118</v>
      </c>
      <c r="AB129" s="35">
        <f t="shared" si="143"/>
        <v>2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779.83275993027735</v>
      </c>
      <c r="AD129" s="57">
        <v>0</v>
      </c>
      <c r="AE129" s="57">
        <v>0</v>
      </c>
      <c r="AF129" s="61">
        <f t="shared" si="131"/>
        <v>2</v>
      </c>
      <c r="AG129" s="40">
        <f t="shared" si="144"/>
        <v>0</v>
      </c>
      <c r="AH129" s="40">
        <f t="shared" si="145"/>
        <v>0</v>
      </c>
      <c r="AI129" s="44">
        <f t="shared" si="146"/>
        <v>1559.6655198605547</v>
      </c>
      <c r="AJ129" s="35">
        <f t="shared" si="132"/>
        <v>2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844.16557919650074</v>
      </c>
      <c r="AL129" s="57">
        <v>0</v>
      </c>
      <c r="AM129" s="57">
        <v>0</v>
      </c>
      <c r="AN129" s="61">
        <f t="shared" si="133"/>
        <v>2</v>
      </c>
      <c r="AO129" s="40">
        <f t="shared" si="147"/>
        <v>0</v>
      </c>
      <c r="AP129" s="40">
        <f t="shared" si="148"/>
        <v>0</v>
      </c>
      <c r="AQ129" s="44">
        <f t="shared" si="149"/>
        <v>1688.3311583930015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21</v>
      </c>
      <c r="G130" s="35">
        <f>SUMIFS(WORKING!$AC$3:$AC$6802,WORKING!$A$3:$A$6802,Results!$D$3,WORKING!$B$3:$B$6802,Results!A130,WORKING!$C$3:$C$6802,Results!C130)/1000</f>
        <v>13773.358410000001</v>
      </c>
      <c r="H130" s="35">
        <f t="shared" si="134"/>
        <v>655.87421000000006</v>
      </c>
      <c r="I130" s="187">
        <v>21</v>
      </c>
      <c r="J130" s="212">
        <v>13896</v>
      </c>
      <c r="K130" s="217">
        <f t="shared" si="135"/>
        <v>661.71428571428567</v>
      </c>
      <c r="L130" s="34">
        <f t="shared" si="128"/>
        <v>21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722.39277506950828</v>
      </c>
      <c r="N130" s="57">
        <v>0</v>
      </c>
      <c r="O130" s="57">
        <v>0</v>
      </c>
      <c r="P130" s="61">
        <f t="shared" si="129"/>
        <v>21</v>
      </c>
      <c r="Q130" s="40">
        <f t="shared" si="136"/>
        <v>0</v>
      </c>
      <c r="R130" s="40">
        <f t="shared" si="137"/>
        <v>0</v>
      </c>
      <c r="S130" s="44">
        <f t="shared" si="138"/>
        <v>15170.248276459673</v>
      </c>
      <c r="T130" s="35">
        <f t="shared" si="139"/>
        <v>21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784.23782147264751</v>
      </c>
      <c r="V130" s="57">
        <v>0</v>
      </c>
      <c r="W130" s="57">
        <v>0</v>
      </c>
      <c r="X130" s="61">
        <f t="shared" si="130"/>
        <v>21</v>
      </c>
      <c r="Y130" s="40">
        <f t="shared" si="140"/>
        <v>0</v>
      </c>
      <c r="Z130" s="40">
        <f t="shared" si="141"/>
        <v>0</v>
      </c>
      <c r="AA130" s="44">
        <f t="shared" si="142"/>
        <v>16468.994250925596</v>
      </c>
      <c r="AB130" s="35">
        <f t="shared" si="143"/>
        <v>21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850.58182807530682</v>
      </c>
      <c r="AD130" s="57">
        <v>0</v>
      </c>
      <c r="AE130" s="57">
        <v>0</v>
      </c>
      <c r="AF130" s="61">
        <f t="shared" si="131"/>
        <v>21</v>
      </c>
      <c r="AG130" s="40">
        <f t="shared" si="144"/>
        <v>0</v>
      </c>
      <c r="AH130" s="40">
        <f t="shared" si="145"/>
        <v>0</v>
      </c>
      <c r="AI130" s="44">
        <f t="shared" si="146"/>
        <v>17862.218389581441</v>
      </c>
      <c r="AJ130" s="35">
        <f t="shared" si="132"/>
        <v>21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920.81234126691072</v>
      </c>
      <c r="AL130" s="57">
        <v>0</v>
      </c>
      <c r="AM130" s="57">
        <v>0</v>
      </c>
      <c r="AN130" s="61">
        <f t="shared" si="133"/>
        <v>21</v>
      </c>
      <c r="AO130" s="40">
        <f t="shared" si="147"/>
        <v>0</v>
      </c>
      <c r="AP130" s="40">
        <f t="shared" si="148"/>
        <v>0</v>
      </c>
      <c r="AQ130" s="44">
        <f t="shared" si="149"/>
        <v>19337.059166605126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</v>
      </c>
      <c r="G131" s="35">
        <f>SUMIFS(WORKING!$AC$3:$AC$6802,WORKING!$A$3:$A$6802,Results!$D$3,WORKING!$B$3:$B$6802,Results!A131,WORKING!$C$3:$C$6802,Results!C131)/1000</f>
        <v>833.07317999999998</v>
      </c>
      <c r="H131" s="35">
        <f t="shared" si="134"/>
        <v>833.07317999999998</v>
      </c>
      <c r="I131" s="187">
        <v>1</v>
      </c>
      <c r="J131" s="212">
        <v>845</v>
      </c>
      <c r="K131" s="217">
        <f t="shared" si="135"/>
        <v>845</v>
      </c>
      <c r="L131" s="34">
        <f t="shared" si="128"/>
        <v>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922.54283012078974</v>
      </c>
      <c r="N131" s="57">
        <v>0</v>
      </c>
      <c r="O131" s="57">
        <v>0</v>
      </c>
      <c r="P131" s="61">
        <f t="shared" si="129"/>
        <v>1</v>
      </c>
      <c r="Q131" s="40">
        <f t="shared" si="136"/>
        <v>0</v>
      </c>
      <c r="R131" s="40">
        <f t="shared" si="137"/>
        <v>0</v>
      </c>
      <c r="S131" s="44">
        <f t="shared" si="138"/>
        <v>922.54283012078974</v>
      </c>
      <c r="T131" s="35">
        <f t="shared" si="139"/>
        <v>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1001.5851417102414</v>
      </c>
      <c r="V131" s="57">
        <v>0</v>
      </c>
      <c r="W131" s="57">
        <v>0</v>
      </c>
      <c r="X131" s="61">
        <f t="shared" si="130"/>
        <v>1</v>
      </c>
      <c r="Y131" s="40">
        <f t="shared" si="140"/>
        <v>0</v>
      </c>
      <c r="Z131" s="40">
        <f t="shared" si="141"/>
        <v>0</v>
      </c>
      <c r="AA131" s="44">
        <f t="shared" si="142"/>
        <v>1001.5851417102414</v>
      </c>
      <c r="AB131" s="35">
        <f t="shared" si="143"/>
        <v>1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1086.3834379312805</v>
      </c>
      <c r="AD131" s="57">
        <v>0</v>
      </c>
      <c r="AE131" s="57">
        <v>0</v>
      </c>
      <c r="AF131" s="61">
        <f t="shared" si="131"/>
        <v>1</v>
      </c>
      <c r="AG131" s="40">
        <f t="shared" si="144"/>
        <v>0</v>
      </c>
      <c r="AH131" s="40">
        <f t="shared" si="145"/>
        <v>0</v>
      </c>
      <c r="AI131" s="44">
        <f t="shared" si="146"/>
        <v>1086.3834379312805</v>
      </c>
      <c r="AJ131" s="35">
        <f t="shared" si="132"/>
        <v>1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1176.1565003750288</v>
      </c>
      <c r="AL131" s="57">
        <v>0</v>
      </c>
      <c r="AM131" s="57">
        <v>0</v>
      </c>
      <c r="AN131" s="61">
        <f t="shared" si="133"/>
        <v>1</v>
      </c>
      <c r="AO131" s="40">
        <f t="shared" si="147"/>
        <v>0</v>
      </c>
      <c r="AP131" s="40">
        <f t="shared" si="148"/>
        <v>0</v>
      </c>
      <c r="AQ131" s="44">
        <f t="shared" si="149"/>
        <v>1176.1565003750288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13</v>
      </c>
      <c r="G132" s="35">
        <f>SUMIFS(WORKING!$AC$3:$AC$6802,WORKING!$A$3:$A$6802,Results!$D$3,WORKING!$B$3:$B$6802,Results!A132,WORKING!$C$3:$C$6802,Results!C132)/1000</f>
        <v>13433.324979999999</v>
      </c>
      <c r="H132" s="35">
        <f t="shared" si="134"/>
        <v>1033.3326907692308</v>
      </c>
      <c r="I132" s="187">
        <v>13</v>
      </c>
      <c r="J132" s="212">
        <v>13345</v>
      </c>
      <c r="K132" s="217">
        <f t="shared" si="135"/>
        <v>1026.5384615384614</v>
      </c>
      <c r="L132" s="34">
        <f t="shared" si="128"/>
        <v>13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1075.7685521760861</v>
      </c>
      <c r="N132" s="57">
        <v>0</v>
      </c>
      <c r="O132" s="57">
        <v>0</v>
      </c>
      <c r="P132" s="61">
        <f t="shared" si="129"/>
        <v>13</v>
      </c>
      <c r="Q132" s="40">
        <f t="shared" si="136"/>
        <v>0</v>
      </c>
      <c r="R132" s="40">
        <f t="shared" si="137"/>
        <v>0</v>
      </c>
      <c r="S132" s="44">
        <f t="shared" si="138"/>
        <v>13984.991178289119</v>
      </c>
      <c r="T132" s="35">
        <f t="shared" si="139"/>
        <v>13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1156.8259090904776</v>
      </c>
      <c r="V132" s="57">
        <v>0</v>
      </c>
      <c r="W132" s="57">
        <v>0</v>
      </c>
      <c r="X132" s="61">
        <f t="shared" si="130"/>
        <v>13</v>
      </c>
      <c r="Y132" s="40">
        <f t="shared" si="140"/>
        <v>0</v>
      </c>
      <c r="Z132" s="40">
        <f t="shared" si="141"/>
        <v>0</v>
      </c>
      <c r="AA132" s="44">
        <f t="shared" si="142"/>
        <v>15038.736818176209</v>
      </c>
      <c r="AB132" s="35">
        <f t="shared" si="143"/>
        <v>13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1242.8172257300014</v>
      </c>
      <c r="AD132" s="57">
        <v>0</v>
      </c>
      <c r="AE132" s="57">
        <v>0</v>
      </c>
      <c r="AF132" s="61">
        <f t="shared" si="131"/>
        <v>13</v>
      </c>
      <c r="AG132" s="40">
        <f t="shared" si="144"/>
        <v>0</v>
      </c>
      <c r="AH132" s="40">
        <f t="shared" si="145"/>
        <v>0</v>
      </c>
      <c r="AI132" s="44">
        <f t="shared" si="146"/>
        <v>16156.623934490019</v>
      </c>
      <c r="AJ132" s="35">
        <f t="shared" si="132"/>
        <v>13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1332.6789821633013</v>
      </c>
      <c r="AL132" s="57">
        <v>0</v>
      </c>
      <c r="AM132" s="57">
        <v>0</v>
      </c>
      <c r="AN132" s="61">
        <f t="shared" si="133"/>
        <v>13</v>
      </c>
      <c r="AO132" s="40">
        <f t="shared" si="147"/>
        <v>0</v>
      </c>
      <c r="AP132" s="40">
        <f t="shared" si="148"/>
        <v>0</v>
      </c>
      <c r="AQ132" s="44">
        <f t="shared" si="149"/>
        <v>17324.826768122915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2583.0810999999999</v>
      </c>
      <c r="H133" s="35">
        <f t="shared" si="134"/>
        <v>1291.5405499999999</v>
      </c>
      <c r="I133" s="187">
        <v>3</v>
      </c>
      <c r="J133" s="212">
        <v>2549</v>
      </c>
      <c r="K133" s="217">
        <f t="shared" si="135"/>
        <v>849.66666666666663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890.26034697847217</v>
      </c>
      <c r="N133" s="57">
        <v>0</v>
      </c>
      <c r="O133" s="57">
        <v>0</v>
      </c>
      <c r="P133" s="61">
        <f t="shared" si="129"/>
        <v>3</v>
      </c>
      <c r="Q133" s="40">
        <f t="shared" si="136"/>
        <v>0</v>
      </c>
      <c r="R133" s="40">
        <f t="shared" si="137"/>
        <v>0</v>
      </c>
      <c r="S133" s="44">
        <f t="shared" si="138"/>
        <v>2670.7810409354165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957.17428567704781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2871.5228570311433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1028.1467584712461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3084.4402754137382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1102.2959851021392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3306.8879553064176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2</v>
      </c>
      <c r="G134" s="35">
        <f>SUMIFS(WORKING!$AC$3:$AC$6802,WORKING!$A$3:$A$6802,Results!$D$3,WORKING!$B$3:$B$6802,Results!A134,WORKING!$C$3:$C$6802,Results!C134)/1000</f>
        <v>2783.0387500000002</v>
      </c>
      <c r="H134" s="35">
        <f t="shared" si="134"/>
        <v>1391.5193750000001</v>
      </c>
      <c r="I134" s="187">
        <v>1</v>
      </c>
      <c r="J134" s="212">
        <v>2783</v>
      </c>
      <c r="K134" s="217">
        <f t="shared" si="135"/>
        <v>2783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2917.4417362278828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2917.4417362278828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3138.3163583565633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3138.3163583565633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3372.7282041714857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3372.7282041714857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3617.8036736622703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3617.8036736622703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159</v>
      </c>
      <c r="G140" s="41">
        <f>SUM(G120:G139)</f>
        <v>71944.165250000005</v>
      </c>
      <c r="H140" s="41">
        <f>IFERROR(G140/F140,0)</f>
        <v>452.47902672955979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159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72564</v>
      </c>
      <c r="K140" s="41">
        <f>IFERROR(J140/I140,"")</f>
        <v>456.37735849056605</v>
      </c>
      <c r="L140" s="41">
        <f>SUM(L120:L139)</f>
        <v>159</v>
      </c>
      <c r="M140" s="41">
        <f>IFERROR(S140/P140,0)</f>
        <v>494.49363597573358</v>
      </c>
      <c r="N140" s="41">
        <f t="shared" ref="N140:T140" si="151">SUM(N120:N139)</f>
        <v>0</v>
      </c>
      <c r="O140" s="41">
        <f t="shared" si="151"/>
        <v>1</v>
      </c>
      <c r="P140" s="41">
        <f t="shared" si="151"/>
        <v>158</v>
      </c>
      <c r="Q140" s="41">
        <f t="shared" si="151"/>
        <v>0</v>
      </c>
      <c r="R140" s="41">
        <f t="shared" si="151"/>
        <v>-156.49815224672705</v>
      </c>
      <c r="S140" s="45">
        <f t="shared" si="151"/>
        <v>78129.994484165902</v>
      </c>
      <c r="T140" s="41">
        <f t="shared" si="151"/>
        <v>158</v>
      </c>
      <c r="U140" s="41">
        <f>IFERROR(AA140/X140,0)</f>
        <v>535.422113900412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158</v>
      </c>
      <c r="Y140" s="41">
        <f t="shared" si="152"/>
        <v>0</v>
      </c>
      <c r="Z140" s="41">
        <f t="shared" si="152"/>
        <v>0</v>
      </c>
      <c r="AA140" s="45">
        <f t="shared" si="152"/>
        <v>84596.693996265094</v>
      </c>
      <c r="AB140" s="41">
        <f t="shared" si="152"/>
        <v>158</v>
      </c>
      <c r="AC140" s="41">
        <f>IFERROR(AI140/AF140,0)</f>
        <v>583.49499938999247</v>
      </c>
      <c r="AD140" s="41">
        <f t="shared" ref="AD140:AJ140" si="153">SUM(AD120:AD139)</f>
        <v>0</v>
      </c>
      <c r="AE140" s="41">
        <f t="shared" si="153"/>
        <v>2</v>
      </c>
      <c r="AF140" s="41">
        <f t="shared" si="153"/>
        <v>156</v>
      </c>
      <c r="AG140" s="41">
        <f t="shared" si="153"/>
        <v>0</v>
      </c>
      <c r="AH140" s="41">
        <f t="shared" si="153"/>
        <v>-489.05367593389212</v>
      </c>
      <c r="AI140" s="45">
        <f t="shared" si="153"/>
        <v>91025.219904838828</v>
      </c>
      <c r="AJ140" s="41">
        <f t="shared" si="153"/>
        <v>156</v>
      </c>
      <c r="AK140" s="41">
        <f>IFERROR(AQ140/AN140,0)</f>
        <v>630.02969542094638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156</v>
      </c>
      <c r="AO140" s="41">
        <f t="shared" si="154"/>
        <v>0</v>
      </c>
      <c r="AP140" s="41">
        <f t="shared" si="154"/>
        <v>0</v>
      </c>
      <c r="AQ140" s="45">
        <f t="shared" si="154"/>
        <v>98284.632485667637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84368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89972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96492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103825.39200000001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6238.0055158340983</v>
      </c>
      <c r="T142" s="39"/>
      <c r="U142" s="39"/>
      <c r="V142" s="53"/>
      <c r="W142" s="53"/>
      <c r="X142" s="110"/>
      <c r="Y142" s="39"/>
      <c r="Z142" s="39"/>
      <c r="AA142" s="54">
        <f>AA141-AA140</f>
        <v>5375.306003734906</v>
      </c>
      <c r="AB142" s="39"/>
      <c r="AC142" s="53"/>
      <c r="AD142" s="53"/>
      <c r="AE142" s="110"/>
      <c r="AF142" s="39"/>
      <c r="AG142" s="39"/>
      <c r="AH142" s="39"/>
      <c r="AI142" s="54">
        <f>AI141-AI140</f>
        <v>5466.7800951611716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5540.7595143323706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2192.01395</v>
      </c>
      <c r="H148" s="35">
        <f>IFERROR(G148/F148,0)</f>
        <v>0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129.74409</v>
      </c>
      <c r="H150" s="35">
        <f t="shared" si="161"/>
        <v>0</v>
      </c>
      <c r="I150" s="187">
        <v>0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>
        <v>0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2</v>
      </c>
      <c r="G152" s="35">
        <f>SUMIFS(WORKING!$AC$3:$AC$6802,WORKING!$A$3:$A$6802,Results!$D$3,WORKING!$B$3:$B$6802,Results!A152,WORKING!$C$3:$C$6802,Results!C152)/1000</f>
        <v>400.76013</v>
      </c>
      <c r="H152" s="35">
        <f t="shared" si="161"/>
        <v>200.380065</v>
      </c>
      <c r="I152" s="187">
        <v>0</v>
      </c>
      <c r="J152" s="212">
        <v>0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218.1667619833282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236.72412554597938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256.62025475747043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277.66884670357166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10</v>
      </c>
      <c r="G153" s="35">
        <f>SUMIFS(WORKING!$AC$3:$AC$6802,WORKING!$A$3:$A$6802,Results!$D$3,WORKING!$B$3:$B$6802,Results!A153,WORKING!$C$3:$C$6802,Results!C153)/1000</f>
        <v>2099.44713</v>
      </c>
      <c r="H153" s="35">
        <f t="shared" si="161"/>
        <v>209.94471300000001</v>
      </c>
      <c r="I153" s="187">
        <v>0</v>
      </c>
      <c r="J153" s="212">
        <v>0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228.55273957840032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247.99089664969307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268.83082696009285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290.87694490023915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3</v>
      </c>
      <c r="G154" s="35">
        <f>SUMIFS(WORKING!$AC$3:$AC$6802,WORKING!$A$3:$A$6802,Results!$D$3,WORKING!$B$3:$B$6802,Results!A154,WORKING!$C$3:$C$6802,Results!C154)/1000</f>
        <v>901.9908999999999</v>
      </c>
      <c r="H154" s="35">
        <f t="shared" si="161"/>
        <v>300.66363333333328</v>
      </c>
      <c r="I154" s="187">
        <v>0</v>
      </c>
      <c r="J154" s="212">
        <v>0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327.08671703925717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354.8368555708812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384.58159529571429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416.03996509446796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3</v>
      </c>
      <c r="G155" s="35">
        <f>SUMIFS(WORKING!$AC$3:$AC$6802,WORKING!$A$3:$A$6802,Results!$D$3,WORKING!$B$3:$B$6802,Results!A155,WORKING!$C$3:$C$6802,Results!C155)/1000</f>
        <v>1047.8754799999999</v>
      </c>
      <c r="H155" s="35">
        <f t="shared" si="161"/>
        <v>349.29182666666662</v>
      </c>
      <c r="I155" s="187">
        <v>0</v>
      </c>
      <c r="J155" s="212">
        <v>0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380.19621246026003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412.51661898337738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447.16629531174004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483.81956875736438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20</v>
      </c>
      <c r="G156" s="35">
        <f>SUMIFS(WORKING!$AC$3:$AC$6802,WORKING!$A$3:$A$6802,Results!$D$3,WORKING!$B$3:$B$6802,Results!A156,WORKING!$C$3:$C$6802,Results!C156)/1000</f>
        <v>8309.6095000000005</v>
      </c>
      <c r="H156" s="35">
        <f t="shared" si="161"/>
        <v>415.48047500000001</v>
      </c>
      <c r="I156" s="187">
        <v>0</v>
      </c>
      <c r="J156" s="212">
        <v>0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452.85807583168582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491.54580761743699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533.04004505704427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576.95568801635113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2</v>
      </c>
      <c r="G157" s="35">
        <f>SUMIFS(WORKING!$AC$3:$AC$6802,WORKING!$A$3:$A$6802,Results!$D$3,WORKING!$B$3:$B$6802,Results!A157,WORKING!$C$3:$C$6802,Results!C157)/1000</f>
        <v>1057.6831700000002</v>
      </c>
      <c r="H157" s="35">
        <f t="shared" si="161"/>
        <v>528.84158500000012</v>
      </c>
      <c r="I157" s="187">
        <v>0</v>
      </c>
      <c r="J157" s="212">
        <v>0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576.90943884532419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626.34470356985537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679.38071561281902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735.52927484322697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9</v>
      </c>
      <c r="G158" s="35">
        <f>SUMIFS(WORKING!$AC$3:$AC$6802,WORKING!$A$3:$A$6802,Results!$D$3,WORKING!$B$3:$B$6802,Results!A158,WORKING!$C$3:$C$6802,Results!C158)/1000</f>
        <v>5988.6199900000011</v>
      </c>
      <c r="H158" s="35">
        <f t="shared" si="161"/>
        <v>665.4022211111112</v>
      </c>
      <c r="I158" s="187">
        <v>0</v>
      </c>
      <c r="J158" s="212">
        <v>0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726.38150295902244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788.52744397795561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855.19032182097112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925.75369834136234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</v>
      </c>
      <c r="G159" s="35">
        <f>SUMIFS(WORKING!$AC$3:$AC$6802,WORKING!$A$3:$A$6802,Results!$D$3,WORKING!$B$3:$B$6802,Results!A159,WORKING!$C$3:$C$6802,Results!C159)/1000</f>
        <v>639.85263000000009</v>
      </c>
      <c r="H159" s="35">
        <f t="shared" si="161"/>
        <v>639.85263000000009</v>
      </c>
      <c r="I159" s="187">
        <v>0</v>
      </c>
      <c r="J159" s="212">
        <v>0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698.80761546300016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758.9388857738586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823.47403326336303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891.82517341300024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3</v>
      </c>
      <c r="G160" s="35">
        <f>SUMIFS(WORKING!$AC$3:$AC$6802,WORKING!$A$3:$A$6802,Results!$D$3,WORKING!$B$3:$B$6802,Results!A160,WORKING!$C$3:$C$6802,Results!C160)/1000</f>
        <v>2716.2983799999997</v>
      </c>
      <c r="H160" s="35">
        <f t="shared" si="161"/>
        <v>905.43279333333328</v>
      </c>
      <c r="I160" s="187">
        <v>0</v>
      </c>
      <c r="J160" s="212">
        <v>0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949.09842115168328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1020.8732537645545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1097.0400817161103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1176.6632569500136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765.81223999999997</v>
      </c>
      <c r="H161" s="35">
        <f t="shared" si="161"/>
        <v>765.81223999999997</v>
      </c>
      <c r="I161" s="187">
        <v>0</v>
      </c>
      <c r="J161" s="212">
        <v>0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802.94976256369978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863.89306638863206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928.58507184245411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996.23646476213219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>
        <v>0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54</v>
      </c>
      <c r="G168" s="41">
        <f>SUM(G148:G167)</f>
        <v>26249.707590000002</v>
      </c>
      <c r="H168" s="41">
        <f>IFERROR(G168/F168,0)</f>
        <v>486.10569611111117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+k4PwofO0gr8ODAs1hUMzKWj2EMOYIyLHzrwiPYUSvLIEYTblOV7jp92A6hfPOtcYRDk5/r4rgEAmI8jDWMj9g==" saltValue="lsgJRVbqVMzvpcI/NGSbj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Government Communication And Information System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46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42671.52367372685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NAT_HRBP__42671.5236737268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HRBP-Vote46.xlsx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elements/1.1/"/>
    <ds:schemaRef ds:uri="df7ca258-5e24-45de-bd31-dbc76bc6765a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